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13_ncr:1_{8A7439DF-6260-4C28-845E-95D4BA4F279C}" xr6:coauthVersionLast="45" xr6:coauthVersionMax="45" xr10:uidLastSave="{00000000-0000-0000-0000-000000000000}"/>
  <bookViews>
    <workbookView xWindow="-120" yWindow="-120" windowWidth="20730" windowHeight="11160" firstSheet="2" activeTab="2" xr2:uid="{00000000-000D-0000-FFFF-FFFF00000000}"/>
  </bookViews>
  <sheets>
    <sheet name="Renúncia da Receita V" sheetId="2" state="hidden" r:id="rId1"/>
    <sheet name="Renúncia da Receita V (2)" sheetId="4" state="hidden" r:id="rId2"/>
    <sheet name="Renúncia da Receita (imp)" sheetId="6" r:id="rId3"/>
    <sheet name="estacionamento vertical" sheetId="3" state="hidden" r:id="rId4"/>
  </sheets>
  <externalReferences>
    <externalReference r:id="rId5"/>
  </externalReferences>
  <definedNames>
    <definedName name="_xlnm.Print_Area" localSheetId="2">'Renúncia da Receita (imp)'!$A$1:$G$61</definedName>
    <definedName name="_xlnm.Print_Area" localSheetId="0">'Renúncia da Receita V'!$A$1:$J$66</definedName>
    <definedName name="_xlnm.Print_Area" localSheetId="1">'Renúncia da Receita V (2)'!$A$1:$J$69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6" l="1"/>
  <c r="E57" i="6" s="1"/>
  <c r="F35" i="6"/>
  <c r="E35" i="6"/>
  <c r="E29" i="6"/>
  <c r="D56" i="6"/>
  <c r="D55" i="6"/>
  <c r="D46" i="6"/>
  <c r="D45" i="6"/>
  <c r="F56" i="6"/>
  <c r="F55" i="6"/>
  <c r="F46" i="6"/>
  <c r="F45" i="6"/>
  <c r="E78" i="4"/>
  <c r="F78" i="4" s="1"/>
  <c r="G31" i="4" s="1"/>
  <c r="H31" i="4" s="1"/>
  <c r="I31" i="4" s="1"/>
  <c r="G18" i="4"/>
  <c r="D10" i="4"/>
  <c r="D11" i="4"/>
  <c r="D12" i="4"/>
  <c r="D13" i="4"/>
  <c r="D14" i="4"/>
  <c r="D15" i="4"/>
  <c r="D16" i="4"/>
  <c r="D17" i="4"/>
  <c r="D18" i="4"/>
  <c r="D19" i="4"/>
  <c r="D20" i="4"/>
  <c r="D21" i="4"/>
  <c r="D22" i="4"/>
  <c r="D23" i="4"/>
  <c r="D24" i="4"/>
  <c r="D25" i="4"/>
  <c r="D26" i="4"/>
  <c r="D28" i="4"/>
  <c r="D30" i="4"/>
  <c r="D35" i="4"/>
  <c r="D38" i="4"/>
  <c r="D39" i="4"/>
  <c r="D41" i="4"/>
  <c r="D42" i="4"/>
  <c r="D47" i="4"/>
  <c r="E52" i="4"/>
  <c r="G29" i="4"/>
  <c r="H29" i="4" s="1"/>
  <c r="I29" i="4" s="1"/>
  <c r="H18" i="4"/>
  <c r="I18" i="4" s="1"/>
  <c r="H51" i="4"/>
  <c r="I51" i="4" s="1"/>
  <c r="H50" i="4"/>
  <c r="I50" i="4" s="1"/>
  <c r="H49" i="4"/>
  <c r="I49" i="4" s="1"/>
  <c r="H48" i="4"/>
  <c r="I48" i="4" s="1"/>
  <c r="H47" i="4"/>
  <c r="I47" i="4" s="1"/>
  <c r="H46" i="4"/>
  <c r="I46" i="4" s="1"/>
  <c r="H45" i="4"/>
  <c r="I45" i="4" s="1"/>
  <c r="H44" i="4"/>
  <c r="I44" i="4" s="1"/>
  <c r="H43" i="4"/>
  <c r="I43" i="4" s="1"/>
  <c r="H42" i="4"/>
  <c r="I42" i="4" s="1"/>
  <c r="H41" i="4"/>
  <c r="I41" i="4" s="1"/>
  <c r="H40" i="4"/>
  <c r="I40" i="4" s="1"/>
  <c r="H39" i="4"/>
  <c r="I39" i="4" s="1"/>
  <c r="G38" i="4"/>
  <c r="H38" i="4" s="1"/>
  <c r="I38" i="4" s="1"/>
  <c r="H37" i="4"/>
  <c r="I37" i="4" s="1"/>
  <c r="H36" i="4"/>
  <c r="I36" i="4" s="1"/>
  <c r="G35" i="4"/>
  <c r="H35" i="4" s="1"/>
  <c r="I35" i="4" s="1"/>
  <c r="H34" i="4"/>
  <c r="I34" i="4" s="1"/>
  <c r="G33" i="4"/>
  <c r="H33" i="4" s="1"/>
  <c r="I33" i="4" s="1"/>
  <c r="G32" i="4"/>
  <c r="H32" i="4" s="1"/>
  <c r="I32" i="4" s="1"/>
  <c r="G30" i="4"/>
  <c r="H30" i="4" s="1"/>
  <c r="I30" i="4" s="1"/>
  <c r="H28" i="4"/>
  <c r="I28" i="4" s="1"/>
  <c r="H27" i="4"/>
  <c r="I27" i="4" s="1"/>
  <c r="G26" i="4"/>
  <c r="H26" i="4" s="1"/>
  <c r="I26" i="4" s="1"/>
  <c r="H25" i="4"/>
  <c r="I25" i="4" s="1"/>
  <c r="H24" i="4"/>
  <c r="I24" i="4" s="1"/>
  <c r="H23" i="4"/>
  <c r="I23" i="4" s="1"/>
  <c r="H22" i="4"/>
  <c r="I22" i="4" s="1"/>
  <c r="G21" i="4"/>
  <c r="H21" i="4" s="1"/>
  <c r="I21" i="4" s="1"/>
  <c r="G20" i="4"/>
  <c r="H20" i="4" s="1"/>
  <c r="I20" i="4" s="1"/>
  <c r="G19" i="4"/>
  <c r="H19" i="4" s="1"/>
  <c r="I19" i="4" s="1"/>
  <c r="G17" i="4"/>
  <c r="H17" i="4" s="1"/>
  <c r="I17" i="4" s="1"/>
  <c r="G16" i="4"/>
  <c r="H16" i="4" s="1"/>
  <c r="I16" i="4" s="1"/>
  <c r="G15" i="4"/>
  <c r="H15" i="4" s="1"/>
  <c r="I15" i="4" s="1"/>
  <c r="G14" i="4"/>
  <c r="H14" i="4" s="1"/>
  <c r="I14" i="4" s="1"/>
  <c r="G13" i="4"/>
  <c r="H13" i="4" s="1"/>
  <c r="I13" i="4" s="1"/>
  <c r="G12" i="4"/>
  <c r="H12" i="4" s="1"/>
  <c r="I12" i="4" s="1"/>
  <c r="G11" i="4"/>
  <c r="H11" i="4" s="1"/>
  <c r="I11" i="4" s="1"/>
  <c r="G10" i="4"/>
  <c r="E52" i="2"/>
  <c r="E53" i="2" s="1"/>
  <c r="H22" i="2"/>
  <c r="I22" i="2" s="1"/>
  <c r="H23" i="2"/>
  <c r="I23" i="2" s="1"/>
  <c r="H24" i="2"/>
  <c r="I24" i="2" s="1"/>
  <c r="H25" i="2"/>
  <c r="I25" i="2" s="1"/>
  <c r="H27" i="2"/>
  <c r="I27" i="2" s="1"/>
  <c r="H28" i="2"/>
  <c r="I28" i="2" s="1"/>
  <c r="H29" i="2"/>
  <c r="I29" i="2" s="1"/>
  <c r="H34" i="2"/>
  <c r="I34" i="2" s="1"/>
  <c r="H36" i="2"/>
  <c r="I36" i="2" s="1"/>
  <c r="H37" i="2"/>
  <c r="I37" i="2" s="1"/>
  <c r="H39" i="2"/>
  <c r="I39" i="2" s="1"/>
  <c r="H40" i="2"/>
  <c r="I40" i="2" s="1"/>
  <c r="H41" i="2"/>
  <c r="I41" i="2" s="1"/>
  <c r="H42" i="2"/>
  <c r="I42" i="2" s="1"/>
  <c r="H43" i="2"/>
  <c r="I43" i="2" s="1"/>
  <c r="H44" i="2"/>
  <c r="I44" i="2" s="1"/>
  <c r="H45" i="2"/>
  <c r="I45" i="2" s="1"/>
  <c r="H46" i="2"/>
  <c r="I46" i="2" s="1"/>
  <c r="H47" i="2"/>
  <c r="I47" i="2" s="1"/>
  <c r="H48" i="2"/>
  <c r="I48" i="2" s="1"/>
  <c r="H49" i="2"/>
  <c r="I49" i="2" s="1"/>
  <c r="H50" i="2"/>
  <c r="I50" i="2" s="1"/>
  <c r="H51" i="2"/>
  <c r="I51" i="2" s="1"/>
  <c r="G38" i="2"/>
  <c r="H38" i="2" s="1"/>
  <c r="I38" i="2" s="1"/>
  <c r="G35" i="2"/>
  <c r="H35" i="2" s="1"/>
  <c r="I35" i="2" s="1"/>
  <c r="G31" i="2"/>
  <c r="H31" i="2" s="1"/>
  <c r="I31" i="2" s="1"/>
  <c r="G32" i="2"/>
  <c r="H32" i="2" s="1"/>
  <c r="I32" i="2" s="1"/>
  <c r="G30" i="2"/>
  <c r="H30" i="2" s="1"/>
  <c r="I30" i="2" s="1"/>
  <c r="G26" i="2"/>
  <c r="H26" i="2" s="1"/>
  <c r="I26" i="2" s="1"/>
  <c r="F28" i="6" l="1"/>
  <c r="D28" i="6"/>
  <c r="D29" i="6"/>
  <c r="F29" i="6"/>
  <c r="D52" i="4"/>
  <c r="G52" i="4"/>
  <c r="H10" i="4"/>
  <c r="G21" i="2"/>
  <c r="H21" i="2" s="1"/>
  <c r="I21" i="2" s="1"/>
  <c r="G20" i="2"/>
  <c r="H20" i="2" s="1"/>
  <c r="I20" i="2" s="1"/>
  <c r="G19" i="2"/>
  <c r="H19" i="2" s="1"/>
  <c r="I19" i="2" s="1"/>
  <c r="G18" i="2"/>
  <c r="H18" i="2" s="1"/>
  <c r="I18" i="2" s="1"/>
  <c r="G11" i="2"/>
  <c r="H11" i="2" s="1"/>
  <c r="I11" i="2" s="1"/>
  <c r="G12" i="2"/>
  <c r="H12" i="2" s="1"/>
  <c r="I12" i="2" s="1"/>
  <c r="G13" i="2"/>
  <c r="H13" i="2" s="1"/>
  <c r="I13" i="2" s="1"/>
  <c r="G14" i="2"/>
  <c r="H14" i="2" s="1"/>
  <c r="I14" i="2" s="1"/>
  <c r="G15" i="2"/>
  <c r="H15" i="2" s="1"/>
  <c r="I15" i="2" s="1"/>
  <c r="G16" i="2"/>
  <c r="H16" i="2" s="1"/>
  <c r="I16" i="2" s="1"/>
  <c r="G17" i="2"/>
  <c r="H17" i="2" s="1"/>
  <c r="I17" i="2" s="1"/>
  <c r="G10" i="2"/>
  <c r="D11" i="2"/>
  <c r="D12" i="2"/>
  <c r="D13" i="2"/>
  <c r="D14" i="2"/>
  <c r="D15" i="2"/>
  <c r="D16" i="2"/>
  <c r="D17" i="2"/>
  <c r="D18" i="2"/>
  <c r="D19" i="2"/>
  <c r="D20" i="2"/>
  <c r="D21" i="2"/>
  <c r="D22" i="2"/>
  <c r="D23" i="2"/>
  <c r="D24" i="2"/>
  <c r="D25" i="2"/>
  <c r="D26" i="2"/>
  <c r="D28" i="2"/>
  <c r="D30" i="2"/>
  <c r="D31" i="2"/>
  <c r="D35" i="2"/>
  <c r="D38" i="2"/>
  <c r="D39" i="2"/>
  <c r="D41" i="2"/>
  <c r="D42" i="2"/>
  <c r="D47" i="2"/>
  <c r="D10" i="2"/>
  <c r="G33" i="2"/>
  <c r="H33" i="2" s="1"/>
  <c r="I33" i="2" s="1"/>
  <c r="C4" i="3"/>
  <c r="G3" i="3"/>
  <c r="G2" i="3"/>
  <c r="F2" i="3"/>
  <c r="F4" i="3" s="1"/>
  <c r="F5" i="3" s="1"/>
  <c r="F3" i="3"/>
  <c r="D57" i="6" l="1"/>
  <c r="F57" i="6"/>
  <c r="H4" i="3"/>
  <c r="I10" i="4"/>
  <c r="I52" i="4" s="1"/>
  <c r="H52" i="4"/>
  <c r="D52" i="2"/>
  <c r="D53" i="2" s="1"/>
  <c r="H10" i="2"/>
  <c r="I10" i="2" s="1"/>
  <c r="I52" i="2" s="1"/>
  <c r="I53" i="2" s="1"/>
  <c r="G52" i="2"/>
  <c r="G53" i="2" s="1"/>
  <c r="G4" i="3"/>
  <c r="F6" i="3"/>
  <c r="F7" i="3" s="1"/>
  <c r="H52" i="2" l="1"/>
  <c r="H53" i="2" s="1"/>
  <c r="G5" i="3"/>
  <c r="G6" i="3" s="1"/>
  <c r="G7" i="3" s="1"/>
  <c r="I4" i="3"/>
</calcChain>
</file>

<file path=xl/sharedStrings.xml><?xml version="1.0" encoding="utf-8"?>
<sst xmlns="http://schemas.openxmlformats.org/spreadsheetml/2006/main" count="458" uniqueCount="97">
  <si>
    <t>PREFEITURA DO  MUNICÍPIO DE SÃO BERNARDO DO CAMPO</t>
  </si>
  <si>
    <t>LEI DE DIRETRIZES ORÇAMENTÁRIAS - ANEXO VIII</t>
  </si>
  <si>
    <t>ANEXO DE METAS FISCAIS</t>
  </si>
  <si>
    <t>ESTIMATIVA E COMPENSAÇÃO DA RENÚNCIA DE RECEITA</t>
  </si>
  <si>
    <t>AMF - Tabela 8 (LRF, art. 4°, § 2°, inciso V)</t>
  </si>
  <si>
    <t>R$ milhares</t>
  </si>
  <si>
    <t>TRIBUTO/</t>
  </si>
  <si>
    <t>MODALIDADE</t>
  </si>
  <si>
    <t>SETORES/PROGRAMAS/</t>
  </si>
  <si>
    <t>COMPENSAÇÃO</t>
  </si>
  <si>
    <t>CONTRIBUIÇÃO</t>
  </si>
  <si>
    <t>BENEFICIÁRIO</t>
  </si>
  <si>
    <t>IPTU / Taxas</t>
  </si>
  <si>
    <t>Isenção / Remissão</t>
  </si>
  <si>
    <t>Aposentados/Pensionistas</t>
  </si>
  <si>
    <t>Previsão conf. Artº 14 inciso I e Artº 12 da L.C.101/00</t>
  </si>
  <si>
    <t>Isenção</t>
  </si>
  <si>
    <t>Ex-combatentes</t>
  </si>
  <si>
    <t>Hortifrutigranjeiros / Cobertura Vegetal</t>
  </si>
  <si>
    <t>Isenção Automática (R$ 56.057,50)</t>
  </si>
  <si>
    <t>Cobertura Vegetal</t>
  </si>
  <si>
    <t>Aposentados/Cobertura Vegetal</t>
  </si>
  <si>
    <t>Aposentados/isenção Automática  (R$ 56.057,50)</t>
  </si>
  <si>
    <t>Remissão</t>
  </si>
  <si>
    <t>Remissão em decorrência da incapacidade econômica / financeira do contribuinte</t>
  </si>
  <si>
    <t>Demais Isenções / Entidade Sem fins Lucrativos</t>
  </si>
  <si>
    <t xml:space="preserve">Desconto p/ Pagamento Antecipado </t>
  </si>
  <si>
    <t>Templos</t>
  </si>
  <si>
    <t>Autarquias Municipais</t>
  </si>
  <si>
    <t>Isenção / Redução de Alíquota / Remissão</t>
  </si>
  <si>
    <t>Incentivo à regularização de áreas e ajustes de alíquotas</t>
  </si>
  <si>
    <t>Benefícios para os empreendimentos habitacionais produzidos pela CDHU</t>
  </si>
  <si>
    <t>Incentivo programas institucionais</t>
  </si>
  <si>
    <t>Universidade Pública</t>
  </si>
  <si>
    <t>Programa de incentivo à adimplência</t>
  </si>
  <si>
    <t>Restrição de uso de imóvel por ato administrativo</t>
  </si>
  <si>
    <t>ISSQN</t>
  </si>
  <si>
    <t>Desconto p/ Pagamento Antecipado</t>
  </si>
  <si>
    <t>Isenção/Remissão/ Redução de Alíquota</t>
  </si>
  <si>
    <t>Incentivo a programas institucionais e de cunho legal / Demais Isenções / Remissão</t>
  </si>
  <si>
    <t>Redução Alíquota</t>
  </si>
  <si>
    <t>Taxa de Fiscalização
de Funcionamento, Publicidade, Obras e Sanitária</t>
  </si>
  <si>
    <t>Entidades de Assistência Social / Templos</t>
  </si>
  <si>
    <t>Desconto p/ pagamento antecipado</t>
  </si>
  <si>
    <t>Entidades Sem Fins Lucrativos</t>
  </si>
  <si>
    <t>Entidades de Apoio à Educação (APMs)</t>
  </si>
  <si>
    <t>Isenção às Microempresas Individuais (MEIs)</t>
  </si>
  <si>
    <t>Isenção por incentivo a programas habitacionais</t>
  </si>
  <si>
    <t>CIP</t>
  </si>
  <si>
    <t>ITBI</t>
  </si>
  <si>
    <t>Incentivo à regularização da propriedade e Demais Títulos</t>
  </si>
  <si>
    <t>Isenção/ Remissão</t>
  </si>
  <si>
    <t>Outros Tributos e Multas Tributárias</t>
  </si>
  <si>
    <t>TOTAL</t>
  </si>
  <si>
    <t>FONTE: Departamento da Receita-SF.1 - previsão dos valores passíveis de renúncia; Banco Central do Brasil - previsão de variação do IPCA (02/2018).</t>
  </si>
  <si>
    <t>Índices IPCA-15 utilizados: 2018 = 4,10%; 2019 = 4,25% ; 2020 = 4,00%</t>
  </si>
  <si>
    <t>Programa de incentivo fiscal</t>
  </si>
  <si>
    <t>Redução de Base de Cálculo</t>
  </si>
  <si>
    <t>OBSERVAÇÕES:</t>
  </si>
  <si>
    <t>Edificios garagem</t>
  </si>
  <si>
    <t>Brazul</t>
  </si>
  <si>
    <t>Demarchi</t>
  </si>
  <si>
    <t>Botujuru</t>
  </si>
  <si>
    <t>2018 com a proposta I</t>
  </si>
  <si>
    <t>2018 com a proposta II</t>
  </si>
  <si>
    <t>Renúncia I</t>
  </si>
  <si>
    <t>Renúncia II</t>
  </si>
  <si>
    <t>TOTAL 2018</t>
  </si>
  <si>
    <t>Sobre o Fundo de Arrendamento Residencial: após leitura do processo, parece não haver uma renúncia tributária, pois a situação anterior é de imunidade do IPTU e ausência de qualquer obra para o ISSQN.</t>
  </si>
  <si>
    <r>
      <t xml:space="preserve">TOTAL </t>
    </r>
    <r>
      <rPr>
        <b/>
        <i/>
        <sz val="11"/>
        <rFont val="Arial"/>
        <family val="2"/>
      </rPr>
      <t>(desconsiderando os campos em amarelo)</t>
    </r>
  </si>
  <si>
    <t>Edifícios Garagem¹</t>
  </si>
  <si>
    <t>Incentivo a programas habitacionais²</t>
  </si>
  <si>
    <t>2 - Incentivo a programas habitacionais: valor de 2016 ajustado com índice de preços.</t>
  </si>
  <si>
    <t>1 - Edifícios garagem: considerando os 2 edifícios da Brazul com estacionamento vertical (de acordo com os métodos sugeridos no projeto apresentado, a renúncia chega de 80% a 90% do IPTU cobrado).</t>
  </si>
  <si>
    <t>historico</t>
  </si>
  <si>
    <t>historico + ajuste</t>
  </si>
  <si>
    <t>historico + ajustes</t>
  </si>
  <si>
    <t>Verificamos que outros municípios de grande porte de SP mantêm as renúncias de mais de 3 anos atrás.</t>
  </si>
  <si>
    <t>LDO 2018</t>
  </si>
  <si>
    <t>estimativa¹</t>
  </si>
  <si>
    <t>estimativa²</t>
  </si>
  <si>
    <t>Coletamos os valores históricos de renúncia até 2017 e utilizamos preferencialmente esses valores históricos como base para projetar as renúncias de 2019 em diante. Quando não foi possível coletar os valores históricos, utilizamos como base os valores da LDO 2018.</t>
  </si>
  <si>
    <t>De 2019 para 2020 e para 2021 foram considerados os valores de 2019 ajustados com a inflação.</t>
  </si>
  <si>
    <t>Em amarelo, itens que podem não compor o quadro de renúncias (a decidir).</t>
  </si>
  <si>
    <t>2018 (LOA 2018)</t>
  </si>
  <si>
    <t>2017 (histórico)</t>
  </si>
  <si>
    <t>Isenção / Redução / Remissão</t>
  </si>
  <si>
    <t>Incentivo a utilização verticalizada de espaços</t>
  </si>
  <si>
    <t>Em amarelo, itens que cogitamos não compor o quadro de renúncias. Prefeito mandou manter.</t>
  </si>
  <si>
    <t>Sobre o Fundo de Arrendamento Residencial: após leitura do processo, parece não haver uma renúncia tributária, pois a situação anterior é de imunidade do IPTU e ausência de qualquer obra para o ISSQN. (Terrenos da PMSBC que seriam doados para construção de residências)</t>
  </si>
  <si>
    <t>1 - Edifícios garagem: considerando os 2 edifícios da Brazul com estacionamento vertical (de acordo com os métodos sugeridos no projeto apresentado, a renúncia chega de 80% a 90% do IPTU cobrado). (Para cálculo a partir de 2019, consideramos metade de 80%: 40%)</t>
  </si>
  <si>
    <r>
      <t>Incentivo a utilização verticalizada de espaços</t>
    </r>
    <r>
      <rPr>
        <vertAlign val="superscript"/>
        <sz val="11"/>
        <rFont val="Arial"/>
        <family val="2"/>
      </rPr>
      <t>1</t>
    </r>
  </si>
  <si>
    <r>
      <t>Incentivo a programas institucionais e de cunho legal / Demais Isenções / Remissão</t>
    </r>
    <r>
      <rPr>
        <vertAlign val="superscript"/>
        <sz val="11"/>
        <rFont val="Arial"/>
        <family val="2"/>
      </rPr>
      <t>3</t>
    </r>
  </si>
  <si>
    <t>3 - Para cálculo da previsão de renúncia a partir de 2019, não consideramos a renúncia do ISS para beneficiamento, tendo em vista a Lei 157/2016 não permitir tal benefício. Também não foi considerado o valor referente à redução de alíquotas para cartório, por já estar há anos reduzida e não ser mais considerado renúncia.</t>
  </si>
  <si>
    <t>Incentivo à mobilidade urbana</t>
  </si>
  <si>
    <t>Incentivo a programações culturais, festivais e de lazer</t>
  </si>
  <si>
    <t>Outras Rendas Municipais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</si>
</sst>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_-* #,##0_-;\-* #,##0_-;_-* &quot;-&quot;??_-;_-@_-"/>
  </numFmts>
  <fonts count="12" x14ac:knownFonts="1">
    <font>
      <sz val="11"/>
      <color theme="1"/>
      <name val="Calibri"/>
      <family val="2"/>
      <scheme val="minor"/>
    </font>
    <font>
      <sz val="10"/>
      <name val="Arial"/>
      <family val="2"/>
    </font>
    <font>
      <b/>
      <sz val="12"/>
      <name val="Arial"/>
      <family val="2"/>
    </font>
    <font>
      <sz val="12"/>
      <name val="Arial"/>
      <family val="2"/>
    </font>
    <font>
      <sz val="9"/>
      <name val="Arial"/>
      <family val="2"/>
    </font>
    <font>
      <b/>
      <sz val="11"/>
      <name val="Arial"/>
      <family val="2"/>
    </font>
    <font>
      <sz val="11"/>
      <name val="Arial"/>
      <family val="2"/>
    </font>
    <font>
      <b/>
      <sz val="10"/>
      <name val="Arial"/>
      <family val="2"/>
    </font>
    <font>
      <sz val="11"/>
      <color theme="1"/>
      <name val="Calibri"/>
      <family val="2"/>
      <scheme val="minor"/>
    </font>
    <font>
      <b/>
      <sz val="11"/>
      <color theme="1"/>
      <name val="Calibri"/>
      <family val="2"/>
      <scheme val="minor"/>
    </font>
    <font>
      <b/>
      <i/>
      <sz val="11"/>
      <name val="Arial"/>
      <family val="2"/>
    </font>
    <font>
      <vertAlign val="superscript"/>
      <sz val="11"/>
      <name val="Arial"/>
      <family val="2"/>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3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cellStyleXfs>
  <cellXfs count="151">
    <xf numFmtId="0" fontId="0" fillId="0" borderId="0" xfId="0"/>
    <xf numFmtId="0" fontId="1" fillId="0" borderId="0" xfId="1" applyFont="1"/>
    <xf numFmtId="0" fontId="1" fillId="0" borderId="0" xfId="1" applyFont="1" applyBorder="1" applyAlignment="1">
      <alignment vertical="center"/>
    </xf>
    <xf numFmtId="0" fontId="3" fillId="0" borderId="0" xfId="1" applyFont="1" applyBorder="1" applyAlignment="1">
      <alignment vertical="center" wrapText="1"/>
    </xf>
    <xf numFmtId="0" fontId="4" fillId="0" borderId="0" xfId="1" applyNumberFormat="1" applyFont="1" applyBorder="1" applyAlignment="1">
      <alignment horizontal="right" vertical="center" wrapText="1"/>
    </xf>
    <xf numFmtId="0" fontId="5" fillId="0" borderId="3" xfId="1" applyFont="1" applyBorder="1" applyAlignment="1">
      <alignment horizontal="center" vertical="center" wrapText="1"/>
    </xf>
    <xf numFmtId="0" fontId="5" fillId="0" borderId="7" xfId="1" applyFont="1" applyBorder="1" applyAlignment="1">
      <alignment horizontal="center" vertical="center"/>
    </xf>
    <xf numFmtId="0" fontId="6" fillId="0" borderId="9" xfId="1" applyFont="1" applyFill="1" applyBorder="1" applyAlignment="1">
      <alignment horizontal="center" vertical="center"/>
    </xf>
    <xf numFmtId="0" fontId="6" fillId="0" borderId="10" xfId="1" applyFont="1" applyFill="1" applyBorder="1" applyAlignment="1">
      <alignment horizontal="left" vertical="center"/>
    </xf>
    <xf numFmtId="0" fontId="6" fillId="0" borderId="9" xfId="1" applyFont="1" applyFill="1" applyBorder="1" applyAlignment="1">
      <alignment horizontal="left" vertical="center"/>
    </xf>
    <xf numFmtId="0" fontId="6" fillId="0" borderId="14" xfId="1" applyFont="1" applyFill="1" applyBorder="1" applyAlignment="1">
      <alignment horizontal="left" vertical="center"/>
    </xf>
    <xf numFmtId="0" fontId="6" fillId="0" borderId="14"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18" xfId="1" applyFont="1" applyFill="1" applyBorder="1" applyAlignment="1">
      <alignment horizontal="left" vertical="center"/>
    </xf>
    <xf numFmtId="0" fontId="6" fillId="0" borderId="14" xfId="1" applyFont="1" applyFill="1" applyBorder="1" applyAlignment="1">
      <alignment horizontal="left" vertical="justify"/>
    </xf>
    <xf numFmtId="3" fontId="5" fillId="0" borderId="25" xfId="1" applyNumberFormat="1" applyFont="1" applyBorder="1"/>
    <xf numFmtId="0" fontId="6" fillId="0" borderId="29" xfId="1" applyFont="1" applyBorder="1"/>
    <xf numFmtId="0" fontId="5" fillId="0" borderId="0" xfId="1" applyFont="1" applyBorder="1" applyAlignment="1">
      <alignment horizontal="left"/>
    </xf>
    <xf numFmtId="3" fontId="5" fillId="0" borderId="0" xfId="1" applyNumberFormat="1" applyFont="1" applyBorder="1"/>
    <xf numFmtId="0" fontId="6" fillId="0" borderId="0" xfId="1" applyFont="1"/>
    <xf numFmtId="0" fontId="1" fillId="0" borderId="0" xfId="1" applyFont="1" applyFill="1" applyBorder="1" applyAlignment="1">
      <alignment horizontal="left" vertical="center"/>
    </xf>
    <xf numFmtId="0" fontId="6" fillId="0" borderId="0" xfId="1" applyFont="1" applyFill="1" applyBorder="1" applyAlignment="1">
      <alignment horizontal="left" vertical="center"/>
    </xf>
    <xf numFmtId="3" fontId="1" fillId="0" borderId="0" xfId="1" applyNumberFormat="1" applyFont="1"/>
    <xf numFmtId="0" fontId="6" fillId="2" borderId="16" xfId="1" applyFont="1" applyFill="1" applyBorder="1" applyAlignment="1">
      <alignment horizontal="center" vertical="center"/>
    </xf>
    <xf numFmtId="0" fontId="6" fillId="2" borderId="7" xfId="1" applyFont="1" applyFill="1" applyBorder="1" applyAlignment="1">
      <alignment horizontal="left" vertical="center"/>
    </xf>
    <xf numFmtId="0" fontId="6" fillId="2" borderId="25" xfId="1" applyFont="1" applyFill="1" applyBorder="1" applyAlignment="1">
      <alignment horizontal="center"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4"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3" xfId="1" applyFont="1" applyFill="1" applyBorder="1" applyAlignment="1">
      <alignment horizontal="left" vertical="center"/>
    </xf>
    <xf numFmtId="0" fontId="6" fillId="0" borderId="0" xfId="1" applyFont="1" applyAlignment="1">
      <alignment wrapText="1"/>
    </xf>
    <xf numFmtId="0" fontId="1" fillId="0" borderId="0" xfId="1" applyFont="1" applyFill="1"/>
    <xf numFmtId="0" fontId="1" fillId="0" borderId="0" xfId="1" applyFont="1" applyFill="1" applyAlignment="1">
      <alignment vertical="center"/>
    </xf>
    <xf numFmtId="164" fontId="1" fillId="0" borderId="0" xfId="1" applyNumberFormat="1" applyFont="1" applyFill="1" applyAlignment="1">
      <alignment vertical="center"/>
    </xf>
    <xf numFmtId="0" fontId="1" fillId="0" borderId="0" xfId="1" applyFont="1" applyFill="1" applyBorder="1" applyAlignment="1">
      <alignment vertical="center"/>
    </xf>
    <xf numFmtId="0" fontId="5" fillId="0" borderId="1" xfId="1" applyFont="1" applyFill="1" applyBorder="1" applyAlignment="1">
      <alignment horizontal="center" vertical="center" wrapText="1"/>
    </xf>
    <xf numFmtId="0" fontId="5" fillId="0" borderId="5" xfId="1" applyFont="1" applyFill="1" applyBorder="1" applyAlignment="1">
      <alignment horizontal="center" vertical="center"/>
    </xf>
    <xf numFmtId="0" fontId="7" fillId="0" borderId="23" xfId="1" applyFont="1" applyFill="1" applyBorder="1" applyAlignment="1">
      <alignment horizontal="center" vertical="center" wrapText="1"/>
    </xf>
    <xf numFmtId="0" fontId="5" fillId="0" borderId="0" xfId="1" applyFont="1" applyFill="1" applyBorder="1" applyAlignment="1">
      <alignment horizontal="left"/>
    </xf>
    <xf numFmtId="0" fontId="5" fillId="0" borderId="28" xfId="1" applyFont="1" applyBorder="1" applyAlignment="1">
      <alignment horizontal="left"/>
    </xf>
    <xf numFmtId="43" fontId="0" fillId="0" borderId="0" xfId="3" applyFont="1"/>
    <xf numFmtId="43" fontId="0" fillId="0" borderId="0" xfId="0" applyNumberFormat="1"/>
    <xf numFmtId="0" fontId="9" fillId="0" borderId="0" xfId="0" applyFont="1"/>
    <xf numFmtId="43" fontId="9" fillId="0" borderId="0" xfId="0" applyNumberFormat="1" applyFont="1"/>
    <xf numFmtId="0" fontId="6" fillId="0" borderId="24" xfId="1" applyFont="1" applyFill="1" applyBorder="1" applyAlignment="1">
      <alignment horizontal="center" vertical="center" wrapText="1"/>
    </xf>
    <xf numFmtId="0" fontId="7" fillId="0" borderId="0" xfId="1" applyFont="1" applyFill="1" applyAlignment="1">
      <alignment vertical="center"/>
    </xf>
    <xf numFmtId="3" fontId="5" fillId="2" borderId="25" xfId="1" applyNumberFormat="1" applyFont="1" applyFill="1" applyBorder="1"/>
    <xf numFmtId="43" fontId="0" fillId="3" borderId="0" xfId="0" applyNumberFormat="1" applyFill="1"/>
    <xf numFmtId="43" fontId="9" fillId="3" borderId="0" xfId="0" applyNumberFormat="1" applyFont="1" applyFill="1"/>
    <xf numFmtId="43" fontId="0" fillId="3" borderId="0" xfId="3" applyFont="1" applyFill="1"/>
    <xf numFmtId="0" fontId="9" fillId="3" borderId="0" xfId="0" applyFont="1" applyFill="1"/>
    <xf numFmtId="9" fontId="0" fillId="0" borderId="0" xfId="4" applyNumberFormat="1" applyFont="1"/>
    <xf numFmtId="0" fontId="5" fillId="0" borderId="7" xfId="1" applyFont="1" applyBorder="1" applyAlignment="1">
      <alignment horizontal="center" vertical="center" wrapText="1"/>
    </xf>
    <xf numFmtId="3" fontId="6" fillId="0" borderId="0" xfId="1" applyNumberFormat="1" applyFont="1"/>
    <xf numFmtId="3" fontId="6" fillId="0" borderId="9" xfId="1" applyNumberFormat="1" applyFont="1" applyFill="1" applyBorder="1" applyAlignment="1">
      <alignment vertical="center"/>
    </xf>
    <xf numFmtId="3" fontId="6" fillId="2" borderId="9" xfId="1" applyNumberFormat="1" applyFont="1" applyFill="1" applyBorder="1" applyAlignment="1">
      <alignment vertical="center"/>
    </xf>
    <xf numFmtId="3" fontId="6" fillId="0" borderId="10" xfId="1" applyNumberFormat="1" applyFont="1" applyFill="1" applyBorder="1" applyAlignment="1">
      <alignment vertical="center"/>
    </xf>
    <xf numFmtId="3" fontId="6" fillId="2" borderId="7" xfId="1" applyNumberFormat="1" applyFont="1" applyFill="1" applyBorder="1" applyAlignment="1">
      <alignment vertical="center"/>
    </xf>
    <xf numFmtId="3" fontId="6" fillId="0" borderId="18" xfId="1" applyNumberFormat="1" applyFont="1" applyFill="1" applyBorder="1" applyAlignment="1">
      <alignment vertical="center"/>
    </xf>
    <xf numFmtId="3" fontId="6" fillId="0" borderId="14" xfId="1" applyNumberFormat="1" applyFont="1" applyFill="1" applyBorder="1" applyAlignment="1">
      <alignment vertical="center"/>
    </xf>
    <xf numFmtId="3" fontId="6" fillId="2" borderId="15" xfId="1" applyNumberFormat="1" applyFont="1" applyFill="1" applyBorder="1" applyAlignment="1">
      <alignment vertical="center"/>
    </xf>
    <xf numFmtId="3" fontId="6" fillId="2" borderId="10" xfId="1" applyNumberFormat="1" applyFont="1" applyFill="1" applyBorder="1" applyAlignment="1">
      <alignment vertical="center"/>
    </xf>
    <xf numFmtId="0" fontId="5" fillId="0" borderId="5" xfId="1" applyFont="1" applyFill="1" applyBorder="1" applyAlignment="1">
      <alignment horizontal="center" vertical="center"/>
    </xf>
    <xf numFmtId="0" fontId="6" fillId="0" borderId="15" xfId="1" applyFont="1" applyFill="1" applyBorder="1" applyAlignment="1">
      <alignment horizontal="left" vertical="center"/>
    </xf>
    <xf numFmtId="0" fontId="3" fillId="0" borderId="0" xfId="1" applyFont="1" applyFill="1" applyBorder="1" applyAlignment="1">
      <alignment vertical="center" wrapText="1"/>
    </xf>
    <xf numFmtId="0" fontId="4" fillId="0" borderId="0" xfId="1" applyNumberFormat="1" applyFont="1" applyFill="1" applyBorder="1" applyAlignment="1">
      <alignment horizontal="right" vertical="center" wrapText="1"/>
    </xf>
    <xf numFmtId="0" fontId="5" fillId="0" borderId="3" xfId="1" applyFont="1" applyFill="1" applyBorder="1" applyAlignment="1">
      <alignment horizontal="center" vertical="center" wrapText="1"/>
    </xf>
    <xf numFmtId="0" fontId="5" fillId="0" borderId="7" xfId="1" applyFont="1" applyFill="1" applyBorder="1" applyAlignment="1">
      <alignment horizontal="center" vertical="center"/>
    </xf>
    <xf numFmtId="0" fontId="5" fillId="0" borderId="7" xfId="1" applyFont="1" applyFill="1" applyBorder="1" applyAlignment="1">
      <alignment horizontal="center" vertical="center" wrapText="1"/>
    </xf>
    <xf numFmtId="0" fontId="6" fillId="0" borderId="16" xfId="1" applyFont="1" applyFill="1" applyBorder="1" applyAlignment="1">
      <alignment horizontal="center" vertical="center"/>
    </xf>
    <xf numFmtId="0" fontId="6" fillId="0" borderId="16" xfId="1" applyFont="1" applyFill="1" applyBorder="1" applyAlignment="1">
      <alignment horizontal="left" vertical="center"/>
    </xf>
    <xf numFmtId="3" fontId="6" fillId="0" borderId="7" xfId="1" applyNumberFormat="1" applyFont="1" applyFill="1" applyBorder="1" applyAlignment="1">
      <alignment vertical="center"/>
    </xf>
    <xf numFmtId="3" fontId="6" fillId="0" borderId="15" xfId="1" applyNumberFormat="1" applyFont="1" applyFill="1" applyBorder="1" applyAlignment="1">
      <alignment vertical="center"/>
    </xf>
    <xf numFmtId="0" fontId="6" fillId="0" borderId="3" xfId="1" applyFont="1" applyFill="1" applyBorder="1" applyAlignment="1">
      <alignment horizontal="left" vertical="center"/>
    </xf>
    <xf numFmtId="0" fontId="6" fillId="0" borderId="7" xfId="1" applyFont="1" applyFill="1" applyBorder="1" applyAlignment="1">
      <alignment horizontal="left" vertical="center"/>
    </xf>
    <xf numFmtId="3" fontId="5" fillId="0" borderId="25" xfId="1" applyNumberFormat="1" applyFont="1" applyFill="1" applyBorder="1"/>
    <xf numFmtId="0" fontId="6" fillId="0" borderId="29" xfId="1" applyFont="1" applyFill="1" applyBorder="1"/>
    <xf numFmtId="3" fontId="5" fillId="0" borderId="0" xfId="1" applyNumberFormat="1" applyFont="1" applyFill="1" applyBorder="1"/>
    <xf numFmtId="0" fontId="6" fillId="0" borderId="0" xfId="1" applyFont="1" applyFill="1"/>
    <xf numFmtId="3" fontId="6" fillId="0" borderId="0" xfId="1" applyNumberFormat="1" applyFont="1" applyFill="1"/>
    <xf numFmtId="0" fontId="6" fillId="0" borderId="0" xfId="1" applyFont="1" applyFill="1" applyAlignment="1">
      <alignment wrapText="1"/>
    </xf>
    <xf numFmtId="3" fontId="1" fillId="0" borderId="0" xfId="1" applyNumberFormat="1" applyFont="1" applyFill="1"/>
    <xf numFmtId="43" fontId="6" fillId="0" borderId="0" xfId="3" applyFont="1" applyFill="1" applyBorder="1" applyAlignment="1">
      <alignment horizontal="left" vertical="center"/>
    </xf>
    <xf numFmtId="0" fontId="5" fillId="0" borderId="5" xfId="1" applyFont="1" applyFill="1" applyBorder="1" applyAlignment="1">
      <alignment horizontal="center" vertical="center"/>
    </xf>
    <xf numFmtId="0" fontId="5" fillId="0" borderId="3" xfId="1" applyFont="1" applyFill="1" applyBorder="1" applyAlignment="1">
      <alignment horizontal="center" vertical="center" wrapText="1"/>
    </xf>
    <xf numFmtId="0" fontId="5" fillId="0" borderId="7" xfId="1" applyFont="1" applyFill="1" applyBorder="1" applyAlignment="1">
      <alignment horizontal="center" vertical="center"/>
    </xf>
    <xf numFmtId="0" fontId="6" fillId="2" borderId="14" xfId="1" applyFont="1" applyFill="1" applyBorder="1" applyAlignment="1">
      <alignment horizontal="left" vertical="center"/>
    </xf>
    <xf numFmtId="165" fontId="6" fillId="0" borderId="0" xfId="3" applyNumberFormat="1" applyFont="1" applyFill="1"/>
    <xf numFmtId="3" fontId="6" fillId="0" borderId="16" xfId="1" applyNumberFormat="1" applyFont="1" applyFill="1" applyBorder="1" applyAlignment="1">
      <alignment vertical="center"/>
    </xf>
    <xf numFmtId="0" fontId="2" fillId="0" borderId="0" xfId="1" applyFont="1" applyBorder="1" applyAlignment="1">
      <alignment horizontal="center" vertical="center"/>
    </xf>
    <xf numFmtId="0" fontId="1" fillId="0" borderId="0" xfId="1" applyFont="1" applyAlignment="1">
      <alignment horizontal="center"/>
    </xf>
    <xf numFmtId="0" fontId="3" fillId="0" borderId="0" xfId="1" applyFont="1" applyBorder="1" applyAlignment="1">
      <alignment horizontal="center" vertical="center"/>
    </xf>
    <xf numFmtId="0" fontId="5" fillId="0" borderId="26" xfId="1" applyFont="1" applyBorder="1" applyAlignment="1">
      <alignment horizontal="left"/>
    </xf>
    <xf numFmtId="0" fontId="5" fillId="0" borderId="27" xfId="1" applyFont="1" applyBorder="1" applyAlignment="1">
      <alignment horizontal="left"/>
    </xf>
    <xf numFmtId="0" fontId="5" fillId="0" borderId="28" xfId="1" applyFont="1" applyBorder="1" applyAlignment="1">
      <alignment horizontal="left"/>
    </xf>
    <xf numFmtId="0" fontId="5" fillId="2" borderId="26" xfId="1" applyFont="1" applyFill="1" applyBorder="1" applyAlignment="1">
      <alignment horizontal="left"/>
    </xf>
    <xf numFmtId="0" fontId="5" fillId="2" borderId="27" xfId="1" applyFont="1" applyFill="1" applyBorder="1" applyAlignment="1">
      <alignment horizontal="left"/>
    </xf>
    <xf numFmtId="0" fontId="5" fillId="2" borderId="28" xfId="1" applyFont="1" applyFill="1" applyBorder="1" applyAlignment="1">
      <alignment horizontal="left"/>
    </xf>
    <xf numFmtId="0" fontId="6" fillId="0" borderId="19" xfId="1" applyFont="1" applyBorder="1" applyAlignment="1">
      <alignment horizontal="center" vertical="center" wrapText="1"/>
    </xf>
    <xf numFmtId="0" fontId="7" fillId="0" borderId="1" xfId="1" applyFont="1" applyFill="1" applyBorder="1" applyAlignment="1">
      <alignment horizontal="center" vertical="center"/>
    </xf>
    <xf numFmtId="0" fontId="7" fillId="0" borderId="12" xfId="1" applyFont="1" applyFill="1" applyBorder="1" applyAlignment="1">
      <alignment horizontal="center" vertical="center"/>
    </xf>
    <xf numFmtId="0" fontId="6" fillId="0" borderId="20" xfId="1" applyFont="1" applyBorder="1" applyAlignment="1">
      <alignment horizontal="center" vertical="center"/>
    </xf>
    <xf numFmtId="0" fontId="6" fillId="0" borderId="19" xfId="1" applyFont="1" applyBorder="1" applyAlignment="1">
      <alignment horizontal="center" vertical="center"/>
    </xf>
    <xf numFmtId="0" fontId="7" fillId="0" borderId="2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6" fillId="0" borderId="24" xfId="1" applyFont="1" applyBorder="1" applyAlignment="1">
      <alignment horizontal="center" vertical="center"/>
    </xf>
    <xf numFmtId="0" fontId="7" fillId="0" borderId="12" xfId="1" applyFont="1" applyFill="1" applyBorder="1" applyAlignment="1">
      <alignment horizontal="center" vertical="center" wrapText="1"/>
    </xf>
    <xf numFmtId="0" fontId="7" fillId="0" borderId="5" xfId="1" applyFont="1" applyFill="1" applyBorder="1" applyAlignment="1">
      <alignment horizontal="center" vertical="center"/>
    </xf>
    <xf numFmtId="0" fontId="5" fillId="0" borderId="3" xfId="1" applyFont="1" applyBorder="1" applyAlignment="1">
      <alignment horizontal="center" vertical="center" wrapText="1"/>
    </xf>
    <xf numFmtId="0" fontId="5" fillId="0" borderId="7" xfId="1" applyFont="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5" fillId="0" borderId="3" xfId="1" applyFont="1" applyBorder="1" applyAlignment="1">
      <alignment horizontal="center" vertical="center"/>
    </xf>
    <xf numFmtId="0" fontId="5" fillId="0" borderId="7" xfId="1" applyFont="1" applyBorder="1" applyAlignment="1">
      <alignment horizontal="center" vertical="center"/>
    </xf>
    <xf numFmtId="0" fontId="5" fillId="0" borderId="4" xfId="1" applyFont="1" applyBorder="1" applyAlignment="1">
      <alignment horizontal="center" vertical="center"/>
    </xf>
    <xf numFmtId="0" fontId="5" fillId="0" borderId="8" xfId="1" applyFont="1" applyBorder="1" applyAlignment="1">
      <alignment horizontal="center" vertical="center"/>
    </xf>
    <xf numFmtId="0" fontId="5" fillId="0" borderId="2" xfId="1" applyFont="1" applyBorder="1" applyAlignment="1">
      <alignment horizontal="center" vertical="center"/>
    </xf>
    <xf numFmtId="0" fontId="5" fillId="0" borderId="6" xfId="1" applyFont="1" applyBorder="1" applyAlignment="1">
      <alignment horizontal="center" vertical="center"/>
    </xf>
    <xf numFmtId="0" fontId="5" fillId="0" borderId="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5"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19" xfId="1" applyFont="1" applyFill="1" applyBorder="1" applyAlignment="1">
      <alignment horizontal="center" vertical="center"/>
    </xf>
    <xf numFmtId="0" fontId="6" fillId="0" borderId="24" xfId="1" applyFont="1" applyFill="1" applyBorder="1" applyAlignment="1">
      <alignment horizontal="center" vertical="center"/>
    </xf>
    <xf numFmtId="0" fontId="5" fillId="0" borderId="26" xfId="1" applyFont="1" applyFill="1" applyBorder="1" applyAlignment="1">
      <alignment horizontal="left"/>
    </xf>
    <xf numFmtId="0" fontId="5" fillId="0" borderId="27" xfId="1" applyFont="1" applyFill="1" applyBorder="1" applyAlignment="1">
      <alignment horizontal="left"/>
    </xf>
    <xf numFmtId="0" fontId="5" fillId="0" borderId="28" xfId="1" applyFont="1" applyFill="1" applyBorder="1" applyAlignment="1">
      <alignment horizontal="left"/>
    </xf>
    <xf numFmtId="0" fontId="6" fillId="0" borderId="19" xfId="1" applyFont="1" applyFill="1" applyBorder="1" applyAlignment="1">
      <alignment horizontal="center" vertical="center" wrapText="1"/>
    </xf>
    <xf numFmtId="0" fontId="5" fillId="0" borderId="2"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3"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8" xfId="1" applyFont="1" applyFill="1" applyBorder="1" applyAlignment="1">
      <alignment horizontal="center" vertical="center"/>
    </xf>
    <xf numFmtId="0" fontId="2" fillId="0" borderId="0" xfId="1" applyFont="1" applyFill="1" applyBorder="1" applyAlignment="1">
      <alignment horizontal="center" vertical="center"/>
    </xf>
    <xf numFmtId="0" fontId="1" fillId="0" borderId="0" xfId="1" applyFont="1" applyFill="1" applyAlignment="1">
      <alignment horizontal="center"/>
    </xf>
    <xf numFmtId="0" fontId="3" fillId="0" borderId="0" xfId="1" applyFont="1" applyFill="1" applyBorder="1" applyAlignment="1">
      <alignment horizontal="center" vertical="center"/>
    </xf>
    <xf numFmtId="0" fontId="2" fillId="0" borderId="0" xfId="1" applyFont="1" applyFill="1" applyAlignment="1">
      <alignment horizontal="left"/>
    </xf>
    <xf numFmtId="0" fontId="7" fillId="0" borderId="1"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21"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23" xfId="1" applyFont="1" applyFill="1" applyBorder="1" applyAlignment="1">
      <alignment horizontal="center" vertical="center" wrapText="1"/>
    </xf>
    <xf numFmtId="0" fontId="6" fillId="0" borderId="9" xfId="1" applyFont="1" applyFill="1" applyBorder="1" applyAlignment="1">
      <alignment horizontal="left" vertical="justify"/>
    </xf>
  </cellXfs>
  <cellStyles count="5">
    <cellStyle name="Normal" xfId="0" builtinId="0"/>
    <cellStyle name="Normal 2" xfId="1" xr:uid="{00000000-0005-0000-0000-000001000000}"/>
    <cellStyle name="Porcentagem" xfId="4" builtinId="5"/>
    <cellStyle name="Vírgula" xfId="3" builtinId="3"/>
    <cellStyle name="Vírgula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2524125</xdr:colOff>
      <xdr:row>0</xdr:row>
      <xdr:rowOff>114300</xdr:rowOff>
    </xdr:from>
    <xdr:to>
      <xdr:col>2</xdr:col>
      <xdr:colOff>657225</xdr:colOff>
      <xdr:row>5</xdr:row>
      <xdr:rowOff>202116</xdr:rowOff>
    </xdr:to>
    <xdr:pic>
      <xdr:nvPicPr>
        <xdr:cNvPr id="2" name="Picture 1">
          <a:extLst>
            <a:ext uri="{FF2B5EF4-FFF2-40B4-BE49-F238E27FC236}">
              <a16:creationId xmlns:a16="http://schemas.microsoft.com/office/drawing/2014/main" id="{00000000-0008-0000-0000-000002000000}"/>
            </a:ext>
          </a:extLst>
        </xdr:cNvPr>
        <xdr:cNvPicPr preferRelativeResize="0">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981450" y="114300"/>
          <a:ext cx="895350" cy="1135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851958</xdr:colOff>
      <xdr:row>0</xdr:row>
      <xdr:rowOff>50800</xdr:rowOff>
    </xdr:from>
    <xdr:to>
      <xdr:col>2</xdr:col>
      <xdr:colOff>1747308</xdr:colOff>
      <xdr:row>5</xdr:row>
      <xdr:rowOff>138616</xdr:rowOff>
    </xdr:to>
    <xdr:pic>
      <xdr:nvPicPr>
        <xdr:cNvPr id="2" name="Picture 1">
          <a:extLst>
            <a:ext uri="{FF2B5EF4-FFF2-40B4-BE49-F238E27FC236}">
              <a16:creationId xmlns:a16="http://schemas.microsoft.com/office/drawing/2014/main" id="{00000000-0008-0000-0100-000002000000}"/>
            </a:ext>
          </a:extLst>
        </xdr:cNvPr>
        <xdr:cNvPicPr preferRelativeResize="0">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074708" y="50800"/>
          <a:ext cx="895350" cy="1146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851958</xdr:colOff>
      <xdr:row>0</xdr:row>
      <xdr:rowOff>50800</xdr:rowOff>
    </xdr:from>
    <xdr:to>
      <xdr:col>2</xdr:col>
      <xdr:colOff>1747308</xdr:colOff>
      <xdr:row>5</xdr:row>
      <xdr:rowOff>138616</xdr:rowOff>
    </xdr:to>
    <xdr:pic>
      <xdr:nvPicPr>
        <xdr:cNvPr id="2" name="Picture 1">
          <a:extLst>
            <a:ext uri="{FF2B5EF4-FFF2-40B4-BE49-F238E27FC236}">
              <a16:creationId xmlns:a16="http://schemas.microsoft.com/office/drawing/2014/main" id="{00000000-0008-0000-0200-000002000000}"/>
            </a:ext>
          </a:extLst>
        </xdr:cNvPr>
        <xdr:cNvPicPr preferRelativeResize="0">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38208" y="50800"/>
          <a:ext cx="895350" cy="1135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nuncia%20da%20Receita%202019/Demonstrativo%20da%20Ren&#250;ncia%20da%20Receita%20LD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úncia da Receita"/>
    </sheetNames>
    <sheetDataSet>
      <sheetData sheetId="0">
        <row r="10">
          <cell r="C10" t="str">
            <v>Aposentados/Pensionistas</v>
          </cell>
          <cell r="D10">
            <v>3940266.51</v>
          </cell>
          <cell r="E10">
            <v>4175549.18</v>
          </cell>
          <cell r="F10">
            <v>6274441.0199999996</v>
          </cell>
          <cell r="G10">
            <v>6557</v>
          </cell>
          <cell r="H10">
            <v>6723.7248790135081</v>
          </cell>
        </row>
        <row r="11">
          <cell r="C11" t="str">
            <v>Ex-combatentes</v>
          </cell>
          <cell r="D11">
            <v>10495.21</v>
          </cell>
          <cell r="E11">
            <v>11543.28</v>
          </cell>
          <cell r="F11">
            <v>11782.86</v>
          </cell>
          <cell r="G11">
            <v>12</v>
          </cell>
          <cell r="H11">
            <v>12.626576403444</v>
          </cell>
        </row>
        <row r="12">
          <cell r="C12" t="str">
            <v>Hortifrutigranjeiros / Cobertura Vegetal</v>
          </cell>
          <cell r="D12">
            <v>416641.44</v>
          </cell>
          <cell r="E12">
            <v>0</v>
          </cell>
          <cell r="F12">
            <v>163875.35999999999</v>
          </cell>
          <cell r="G12">
            <v>171</v>
          </cell>
          <cell r="H12">
            <v>175.609720702944</v>
          </cell>
        </row>
        <row r="13">
          <cell r="C13" t="str">
            <v>Isenção Automática (R$ 56.057,50)</v>
          </cell>
          <cell r="D13">
            <v>1824298</v>
          </cell>
          <cell r="E13">
            <v>1178789.69</v>
          </cell>
          <cell r="F13">
            <v>939322.97</v>
          </cell>
          <cell r="G13">
            <v>982</v>
          </cell>
          <cell r="H13">
            <v>1006.583566996038</v>
          </cell>
        </row>
        <row r="14">
          <cell r="C14" t="str">
            <v>Cobertura Vegetal</v>
          </cell>
          <cell r="D14">
            <v>5877722.1399999997</v>
          </cell>
          <cell r="E14">
            <v>3843694.31</v>
          </cell>
          <cell r="F14">
            <v>2142699.42</v>
          </cell>
          <cell r="G14">
            <v>2239</v>
          </cell>
          <cell r="H14">
            <v>2296.1282690488679</v>
          </cell>
        </row>
        <row r="15">
          <cell r="C15" t="str">
            <v>Aposentados/Cobertura Vegetal</v>
          </cell>
          <cell r="D15">
            <v>15074.64</v>
          </cell>
          <cell r="E15">
            <v>31675.439999999999</v>
          </cell>
          <cell r="F15">
            <v>20731.68</v>
          </cell>
          <cell r="G15">
            <v>22</v>
          </cell>
          <cell r="H15">
            <v>22.216180239071999</v>
          </cell>
        </row>
        <row r="16">
          <cell r="C16" t="str">
            <v>Aposentados/isenção Automática  (R$ 56.057,50)</v>
          </cell>
          <cell r="D16">
            <v>93634.4</v>
          </cell>
          <cell r="E16">
            <v>62675.21</v>
          </cell>
          <cell r="F16">
            <v>59642.29</v>
          </cell>
          <cell r="G16">
            <v>62</v>
          </cell>
          <cell r="H16">
            <v>63.913000032366</v>
          </cell>
        </row>
        <row r="17">
          <cell r="C17" t="str">
            <v>Remissão em decorrência da incapacidade econômica / financeira do contribuinte</v>
          </cell>
          <cell r="D17">
            <v>237000</v>
          </cell>
          <cell r="E17">
            <v>120314.69701199999</v>
          </cell>
          <cell r="F17">
            <v>104557.89</v>
          </cell>
          <cell r="G17">
            <v>150</v>
          </cell>
          <cell r="H17">
            <v>112.04479953660601</v>
          </cell>
        </row>
        <row r="18">
          <cell r="C18" t="str">
            <v>Demais Isenções / Entidade Sem fins Lucrativos</v>
          </cell>
          <cell r="D18">
            <v>1000000</v>
          </cell>
          <cell r="E18">
            <v>5461507.1699999999</v>
          </cell>
          <cell r="F18">
            <v>7532772.0199999996</v>
          </cell>
          <cell r="G18">
            <v>5790</v>
          </cell>
          <cell r="H18">
            <v>8072.1591736009077</v>
          </cell>
        </row>
        <row r="19">
          <cell r="C19" t="str">
            <v xml:space="preserve">Desconto p/ Pagamento Antecipado </v>
          </cell>
          <cell r="D19">
            <v>6340000</v>
          </cell>
          <cell r="E19">
            <v>5095174.04</v>
          </cell>
          <cell r="F19">
            <v>5195544.4000000004</v>
          </cell>
          <cell r="G19">
            <v>5429</v>
          </cell>
          <cell r="H19">
            <v>5567.5734349797603</v>
          </cell>
        </row>
        <row r="20">
          <cell r="C20" t="str">
            <v>Templos</v>
          </cell>
          <cell r="D20">
            <v>2500000</v>
          </cell>
          <cell r="E20">
            <v>2990253.78</v>
          </cell>
          <cell r="F20">
            <v>3297651.8685839996</v>
          </cell>
          <cell r="G20">
            <v>3034</v>
          </cell>
          <cell r="H20">
            <v>3533.7815496947042</v>
          </cell>
        </row>
        <row r="21">
          <cell r="C21" t="str">
            <v>Autarquias Municipais</v>
          </cell>
          <cell r="D21">
            <v>29000</v>
          </cell>
          <cell r="E21">
            <v>33000</v>
          </cell>
          <cell r="F21">
            <v>40803.599999999999</v>
          </cell>
          <cell r="G21">
            <v>47</v>
          </cell>
          <cell r="H21">
            <v>43.725358099440001</v>
          </cell>
        </row>
        <row r="22">
          <cell r="C22" t="str">
            <v>Programa de incentivo fiscal</v>
          </cell>
          <cell r="G22">
            <v>8350</v>
          </cell>
          <cell r="H22">
            <v>8692.3499999999985</v>
          </cell>
        </row>
        <row r="23">
          <cell r="C23" t="str">
            <v>Incentivo à regularização de áreas e ajustes de alíquotas</v>
          </cell>
          <cell r="G23">
            <v>4956</v>
          </cell>
          <cell r="H23">
            <v>5159.1959999999999</v>
          </cell>
        </row>
        <row r="24">
          <cell r="C24" t="str">
            <v>Benefícios para os empreendimentos habitacionais produzidos pela CDHU</v>
          </cell>
          <cell r="G24">
            <v>7735</v>
          </cell>
          <cell r="H24">
            <v>8052.1349999999993</v>
          </cell>
        </row>
        <row r="25">
          <cell r="C25" t="str">
            <v>Incentivo programas institucionais</v>
          </cell>
          <cell r="E25">
            <v>15074.64</v>
          </cell>
          <cell r="F25">
            <v>15693</v>
          </cell>
          <cell r="G25">
            <v>4180</v>
          </cell>
          <cell r="H25">
            <v>4351.38</v>
          </cell>
        </row>
        <row r="26">
          <cell r="C26" t="str">
            <v>Universidade Pública</v>
          </cell>
          <cell r="D26">
            <v>1575000</v>
          </cell>
          <cell r="E26">
            <v>1765000</v>
          </cell>
          <cell r="F26">
            <v>384359.2</v>
          </cell>
          <cell r="G26">
            <v>331</v>
          </cell>
          <cell r="H26">
            <v>411.88139425968001</v>
          </cell>
        </row>
        <row r="27">
          <cell r="C27" t="str">
            <v>Programa de incentivo à regularização</v>
          </cell>
          <cell r="G27">
            <v>6200</v>
          </cell>
          <cell r="H27">
            <v>6454.2</v>
          </cell>
        </row>
        <row r="28">
          <cell r="C28" t="str">
            <v>Restrição de uso de imóvel por ato administrativo</v>
          </cell>
          <cell r="G28">
            <v>2440</v>
          </cell>
          <cell r="H28">
            <v>2540.04</v>
          </cell>
        </row>
        <row r="29">
          <cell r="C29" t="str">
            <v>Desconto p/ Pagamento Antecipado</v>
          </cell>
          <cell r="D29">
            <v>28000</v>
          </cell>
          <cell r="E29">
            <v>30000</v>
          </cell>
          <cell r="F29">
            <v>22966.35</v>
          </cell>
          <cell r="G29">
            <v>24</v>
          </cell>
          <cell r="H29">
            <v>24.61086467829</v>
          </cell>
        </row>
        <row r="30">
          <cell r="C30" t="str">
            <v>Incentivo a programas institucionais e de cunho legal / Demais Isenções / Remissão</v>
          </cell>
          <cell r="D30">
            <v>1786000</v>
          </cell>
          <cell r="E30">
            <v>1900000</v>
          </cell>
          <cell r="F30">
            <v>8028000</v>
          </cell>
          <cell r="G30">
            <v>2698</v>
          </cell>
          <cell r="H30">
            <v>8602.8481511999998</v>
          </cell>
        </row>
        <row r="31">
          <cell r="C31" t="str">
            <v>Programa de incentivo fiscal</v>
          </cell>
          <cell r="G31">
            <v>6200</v>
          </cell>
          <cell r="H31">
            <v>6454.2</v>
          </cell>
        </row>
        <row r="32">
          <cell r="C32" t="str">
            <v>Incentivo a programas de educação e cidadania fiscal</v>
          </cell>
          <cell r="G32">
            <v>261</v>
          </cell>
          <cell r="H32">
            <v>271.70099999999996</v>
          </cell>
        </row>
        <row r="33">
          <cell r="C33" t="str">
            <v>Incentivo a programas habitacionais</v>
          </cell>
          <cell r="D33">
            <v>100000</v>
          </cell>
          <cell r="E33">
            <v>110000</v>
          </cell>
          <cell r="F33">
            <v>65803.710000000006</v>
          </cell>
          <cell r="G33">
            <v>69</v>
          </cell>
          <cell r="H33">
            <v>70.515610976033997</v>
          </cell>
        </row>
        <row r="34">
          <cell r="C34" t="str">
            <v>Programa de incentivo à regularização</v>
          </cell>
          <cell r="G34">
            <v>3100.4055971703569</v>
          </cell>
          <cell r="H34">
            <v>3227.5222266543415</v>
          </cell>
        </row>
        <row r="35">
          <cell r="C35" t="str">
            <v>Entidades de Assistência Social / Templos</v>
          </cell>
          <cell r="D35">
            <v>144000</v>
          </cell>
          <cell r="E35">
            <v>162000</v>
          </cell>
          <cell r="F35">
            <v>168642</v>
          </cell>
          <cell r="G35">
            <v>500</v>
          </cell>
        </row>
        <row r="36">
          <cell r="C36" t="str">
            <v>Desconto p/ pagamento antecipado</v>
          </cell>
          <cell r="D36">
            <v>593000</v>
          </cell>
          <cell r="E36">
            <v>664000</v>
          </cell>
          <cell r="F36">
            <v>691224</v>
          </cell>
          <cell r="G36">
            <v>382</v>
          </cell>
        </row>
        <row r="37">
          <cell r="C37" t="str">
            <v>Autarquias Municipais</v>
          </cell>
          <cell r="D37">
            <v>6000</v>
          </cell>
          <cell r="E37">
            <v>6000</v>
          </cell>
          <cell r="F37">
            <v>6246</v>
          </cell>
          <cell r="G37">
            <v>5</v>
          </cell>
        </row>
        <row r="38">
          <cell r="C38" t="str">
            <v>Entidades Sem Fins Lucrativos</v>
          </cell>
          <cell r="D38">
            <v>93000</v>
          </cell>
          <cell r="E38">
            <v>105000</v>
          </cell>
          <cell r="F38">
            <v>109305</v>
          </cell>
          <cell r="G38">
            <v>101</v>
          </cell>
        </row>
        <row r="39">
          <cell r="C39" t="str">
            <v>Entidades de Apoio à Educação (APMs)</v>
          </cell>
          <cell r="D39">
            <v>22000</v>
          </cell>
          <cell r="E39">
            <v>24000</v>
          </cell>
          <cell r="F39">
            <v>24984</v>
          </cell>
          <cell r="G39">
            <v>22</v>
          </cell>
        </row>
        <row r="40">
          <cell r="C40" t="str">
            <v>Universidade Pública</v>
          </cell>
          <cell r="D40">
            <v>39000</v>
          </cell>
          <cell r="E40">
            <v>43000</v>
          </cell>
          <cell r="F40">
            <v>44763</v>
          </cell>
          <cell r="G40">
            <v>4</v>
          </cell>
        </row>
        <row r="41">
          <cell r="C41" t="str">
            <v>Isenção às Microempresas Individuais (MEIs)</v>
          </cell>
          <cell r="D41">
            <v>391000</v>
          </cell>
          <cell r="E41">
            <v>438000</v>
          </cell>
          <cell r="F41">
            <v>455958</v>
          </cell>
          <cell r="G41">
            <v>2433</v>
          </cell>
        </row>
        <row r="42">
          <cell r="C42" t="str">
            <v>Isenção por incentivo a programas habitacionais</v>
          </cell>
          <cell r="D42">
            <v>310000</v>
          </cell>
          <cell r="E42">
            <v>106000</v>
          </cell>
          <cell r="F42">
            <v>110346</v>
          </cell>
          <cell r="G42">
            <v>115</v>
          </cell>
        </row>
        <row r="43">
          <cell r="C43" t="str">
            <v>Programa de incentivo à regularização</v>
          </cell>
          <cell r="G43">
            <v>38.877411469252984</v>
          </cell>
        </row>
        <row r="44">
          <cell r="C44" t="str">
            <v>Desconto p/ Pagamento Antecipado</v>
          </cell>
          <cell r="D44">
            <v>22000</v>
          </cell>
          <cell r="E44">
            <v>24000</v>
          </cell>
          <cell r="G44">
            <v>16</v>
          </cell>
        </row>
        <row r="45">
          <cell r="C45" t="str">
            <v>Benefícios para os empreendimentos habitacionais produzidos pela CDHU</v>
          </cell>
          <cell r="G45">
            <v>5</v>
          </cell>
        </row>
        <row r="46">
          <cell r="C46" t="str">
            <v>Programa de incentivo à regularização</v>
          </cell>
          <cell r="G46">
            <v>38.877411469252984</v>
          </cell>
        </row>
        <row r="47">
          <cell r="C47" t="str">
            <v>Incentivo à regularização da propriedade e Demais Títulos</v>
          </cell>
          <cell r="D47">
            <v>20000</v>
          </cell>
          <cell r="E47">
            <v>25000</v>
          </cell>
          <cell r="F47">
            <v>26025</v>
          </cell>
          <cell r="G47">
            <v>6302</v>
          </cell>
        </row>
        <row r="48">
          <cell r="C48" t="str">
            <v>Programa de incentivo fiscal</v>
          </cell>
          <cell r="G48">
            <v>6569</v>
          </cell>
        </row>
        <row r="49">
          <cell r="C49" t="str">
            <v>Isenção por incentivo a programas habitacionais</v>
          </cell>
          <cell r="D49">
            <v>60000</v>
          </cell>
          <cell r="E49">
            <v>74000</v>
          </cell>
          <cell r="F49">
            <v>77034</v>
          </cell>
          <cell r="G49">
            <v>95</v>
          </cell>
        </row>
        <row r="50">
          <cell r="C50" t="str">
            <v>Programa de incentivo à regularização</v>
          </cell>
          <cell r="G50">
            <v>337.39068275065</v>
          </cell>
        </row>
        <row r="51">
          <cell r="C51" t="str">
            <v>Programa de incentivo à regularização</v>
          </cell>
          <cell r="G51">
            <v>1076.6052406870058</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pageSetUpPr fitToPage="1"/>
  </sheetPr>
  <dimension ref="A1:L66"/>
  <sheetViews>
    <sheetView view="pageBreakPreview" topLeftCell="A37" zoomScale="90" zoomScaleNormal="75" zoomScaleSheetLayoutView="90" workbookViewId="0">
      <selection activeCell="A58" sqref="A58:A65"/>
    </sheetView>
  </sheetViews>
  <sheetFormatPr defaultRowHeight="16.5" customHeight="1" x14ac:dyDescent="0.2"/>
  <cols>
    <col min="1" max="1" width="21.85546875" style="34" customWidth="1"/>
    <col min="2" max="2" width="41.42578125" style="1" bestFit="1" customWidth="1"/>
    <col min="3" max="3" width="91.140625" style="1" bestFit="1" customWidth="1"/>
    <col min="4" max="4" width="17.5703125" style="1" bestFit="1" customWidth="1"/>
    <col min="5" max="5" width="17.5703125" style="1" customWidth="1"/>
    <col min="6" max="6" width="20.42578125" style="1" bestFit="1" customWidth="1"/>
    <col min="7" max="8" width="14.7109375" style="1" customWidth="1"/>
    <col min="9" max="9" width="14.140625" style="1" customWidth="1"/>
    <col min="10" max="10" width="51.42578125" style="1" bestFit="1" customWidth="1"/>
    <col min="11" max="16384" width="9.140625" style="34"/>
  </cols>
  <sheetData>
    <row r="1" spans="1:12" ht="16.5" customHeight="1" x14ac:dyDescent="0.2">
      <c r="A1" s="93"/>
      <c r="B1" s="93"/>
      <c r="C1" s="93"/>
      <c r="D1" s="93"/>
      <c r="E1" s="93"/>
      <c r="F1" s="93"/>
      <c r="G1" s="93"/>
      <c r="H1" s="93"/>
      <c r="I1" s="93"/>
      <c r="J1" s="93"/>
    </row>
    <row r="2" spans="1:12" ht="16.5" customHeight="1" x14ac:dyDescent="0.2">
      <c r="A2" s="92" t="s">
        <v>0</v>
      </c>
      <c r="B2" s="92"/>
      <c r="C2" s="92"/>
      <c r="D2" s="92"/>
      <c r="E2" s="92"/>
      <c r="F2" s="92"/>
      <c r="G2" s="92"/>
      <c r="H2" s="92"/>
      <c r="I2" s="92"/>
      <c r="J2" s="92"/>
    </row>
    <row r="3" spans="1:12" ht="16.5" customHeight="1" x14ac:dyDescent="0.2">
      <c r="A3" s="94" t="s">
        <v>1</v>
      </c>
      <c r="B3" s="94"/>
      <c r="C3" s="94"/>
      <c r="D3" s="94"/>
      <c r="E3" s="94"/>
      <c r="F3" s="94"/>
      <c r="G3" s="94"/>
      <c r="H3" s="94"/>
      <c r="I3" s="94"/>
      <c r="J3" s="94"/>
    </row>
    <row r="4" spans="1:12" ht="16.5" customHeight="1" x14ac:dyDescent="0.2">
      <c r="A4" s="94" t="s">
        <v>2</v>
      </c>
      <c r="B4" s="94"/>
      <c r="C4" s="94"/>
      <c r="D4" s="94"/>
      <c r="E4" s="94"/>
      <c r="F4" s="94"/>
      <c r="G4" s="94"/>
      <c r="H4" s="94"/>
      <c r="I4" s="94"/>
      <c r="J4" s="94"/>
    </row>
    <row r="5" spans="1:12" ht="16.5" customHeight="1" x14ac:dyDescent="0.2">
      <c r="A5" s="92" t="s">
        <v>3</v>
      </c>
      <c r="B5" s="92"/>
      <c r="C5" s="92"/>
      <c r="D5" s="92"/>
      <c r="E5" s="92"/>
      <c r="F5" s="92"/>
      <c r="G5" s="92"/>
      <c r="H5" s="92"/>
      <c r="I5" s="92"/>
      <c r="J5" s="92"/>
    </row>
    <row r="6" spans="1:12" ht="16.5" customHeight="1" x14ac:dyDescent="0.2">
      <c r="A6" s="92">
        <v>2019</v>
      </c>
      <c r="B6" s="92"/>
      <c r="C6" s="92"/>
      <c r="D6" s="92"/>
      <c r="E6" s="92"/>
      <c r="F6" s="92"/>
      <c r="G6" s="92"/>
      <c r="H6" s="92"/>
      <c r="I6" s="92"/>
      <c r="J6" s="92"/>
    </row>
    <row r="7" spans="1:12" ht="16.5" customHeight="1" thickBot="1" x14ac:dyDescent="0.25">
      <c r="A7" s="37" t="s">
        <v>4</v>
      </c>
      <c r="B7" s="3"/>
      <c r="G7" s="2"/>
      <c r="H7" s="2"/>
      <c r="I7" s="3"/>
      <c r="J7" s="4" t="s">
        <v>5</v>
      </c>
    </row>
    <row r="8" spans="1:12" s="35" customFormat="1" ht="16.5" customHeight="1" x14ac:dyDescent="0.25">
      <c r="A8" s="38" t="s">
        <v>6</v>
      </c>
      <c r="B8" s="121" t="s">
        <v>7</v>
      </c>
      <c r="C8" s="5" t="s">
        <v>8</v>
      </c>
      <c r="D8" s="112" t="s">
        <v>84</v>
      </c>
      <c r="E8" s="112" t="s">
        <v>85</v>
      </c>
      <c r="F8" s="5"/>
      <c r="G8" s="117">
        <v>2019</v>
      </c>
      <c r="H8" s="117">
        <v>2020</v>
      </c>
      <c r="I8" s="117">
        <v>2021</v>
      </c>
      <c r="J8" s="119" t="s">
        <v>9</v>
      </c>
    </row>
    <row r="9" spans="1:12" s="35" customFormat="1" ht="15.75" thickBot="1" x14ac:dyDescent="0.3">
      <c r="A9" s="39" t="s">
        <v>10</v>
      </c>
      <c r="B9" s="122"/>
      <c r="C9" s="6" t="s">
        <v>11</v>
      </c>
      <c r="D9" s="113"/>
      <c r="E9" s="113"/>
      <c r="F9" s="55"/>
      <c r="G9" s="118"/>
      <c r="H9" s="118"/>
      <c r="I9" s="118"/>
      <c r="J9" s="120"/>
    </row>
    <row r="10" spans="1:12" s="35" customFormat="1" ht="16.5" customHeight="1" x14ac:dyDescent="0.25">
      <c r="A10" s="123" t="s">
        <v>12</v>
      </c>
      <c r="B10" s="7" t="s">
        <v>13</v>
      </c>
      <c r="C10" s="8" t="s">
        <v>14</v>
      </c>
      <c r="D10" s="57">
        <f>VLOOKUP(C10,'[1]Renúncia da Receita'!$C$10:$G$51,5,FALSE)</f>
        <v>6557</v>
      </c>
      <c r="E10" s="57">
        <v>6274.4410199999993</v>
      </c>
      <c r="F10" s="57" t="s">
        <v>74</v>
      </c>
      <c r="G10" s="57">
        <f>VLOOKUP(C10,'[1]Renúncia da Receita'!$C$10:$H$28,6,FALSE)</f>
        <v>6723.7248790135081</v>
      </c>
      <c r="H10" s="57">
        <f>G10*(1+4.25%)</f>
        <v>7009.4831863715817</v>
      </c>
      <c r="I10" s="57">
        <f>H10*(1+4%)</f>
        <v>7289.8625138264451</v>
      </c>
      <c r="J10" s="114" t="s">
        <v>15</v>
      </c>
      <c r="K10" s="36"/>
      <c r="L10" s="36"/>
    </row>
    <row r="11" spans="1:12" s="35" customFormat="1" ht="16.5" customHeight="1" x14ac:dyDescent="0.25">
      <c r="A11" s="124"/>
      <c r="B11" s="7" t="s">
        <v>16</v>
      </c>
      <c r="C11" s="9" t="s">
        <v>17</v>
      </c>
      <c r="D11" s="57">
        <f>VLOOKUP(C11,'[1]Renúncia da Receita'!$C$10:$G$51,5,FALSE)</f>
        <v>12</v>
      </c>
      <c r="E11" s="57">
        <v>11.782860000000001</v>
      </c>
      <c r="F11" s="57" t="s">
        <v>74</v>
      </c>
      <c r="G11" s="57">
        <f>VLOOKUP(C11,'[1]Renúncia da Receita'!$C$10:$H$28,6,FALSE)</f>
        <v>12.626576403444</v>
      </c>
      <c r="H11" s="57">
        <f t="shared" ref="H11:H51" si="0">G11*(1+4.25%)</f>
        <v>13.16320590059037</v>
      </c>
      <c r="I11" s="57">
        <f t="shared" ref="I11:I51" si="1">H11*(1+4%)</f>
        <v>13.689734136613986</v>
      </c>
      <c r="J11" s="115"/>
      <c r="K11" s="36"/>
      <c r="L11" s="36"/>
    </row>
    <row r="12" spans="1:12" s="35" customFormat="1" ht="16.5" customHeight="1" x14ac:dyDescent="0.25">
      <c r="A12" s="124"/>
      <c r="B12" s="7" t="s">
        <v>16</v>
      </c>
      <c r="C12" s="9" t="s">
        <v>18</v>
      </c>
      <c r="D12" s="57">
        <f>VLOOKUP(C12,'[1]Renúncia da Receita'!$C$10:$G$51,5,FALSE)</f>
        <v>171</v>
      </c>
      <c r="E12" s="57">
        <v>163.87535999999997</v>
      </c>
      <c r="F12" s="57" t="s">
        <v>74</v>
      </c>
      <c r="G12" s="57">
        <f>VLOOKUP(C12,'[1]Renúncia da Receita'!$C$10:$H$28,6,FALSE)</f>
        <v>175.609720702944</v>
      </c>
      <c r="H12" s="57">
        <f t="shared" si="0"/>
        <v>183.07313383281911</v>
      </c>
      <c r="I12" s="57">
        <f t="shared" si="1"/>
        <v>190.39605918613188</v>
      </c>
      <c r="J12" s="115"/>
      <c r="K12" s="36"/>
      <c r="L12" s="36"/>
    </row>
    <row r="13" spans="1:12" ht="16.5" customHeight="1" x14ac:dyDescent="0.2">
      <c r="A13" s="124"/>
      <c r="B13" s="7" t="s">
        <v>16</v>
      </c>
      <c r="C13" s="9" t="s">
        <v>19</v>
      </c>
      <c r="D13" s="57">
        <f>VLOOKUP(C13,'[1]Renúncia da Receita'!$C$10:$G$51,5,FALSE)</f>
        <v>982</v>
      </c>
      <c r="E13" s="57">
        <v>939.32296999999994</v>
      </c>
      <c r="F13" s="57" t="s">
        <v>74</v>
      </c>
      <c r="G13" s="57">
        <f>VLOOKUP(C13,'[1]Renúncia da Receita'!$C$10:$H$28,6,FALSE)</f>
        <v>1006.583566996038</v>
      </c>
      <c r="H13" s="57">
        <f t="shared" si="0"/>
        <v>1049.3633685933696</v>
      </c>
      <c r="I13" s="57">
        <f t="shared" si="1"/>
        <v>1091.3379033371045</v>
      </c>
      <c r="J13" s="115"/>
      <c r="K13" s="36"/>
      <c r="L13" s="36"/>
    </row>
    <row r="14" spans="1:12" ht="16.5" customHeight="1" x14ac:dyDescent="0.2">
      <c r="A14" s="124"/>
      <c r="B14" s="7" t="s">
        <v>16</v>
      </c>
      <c r="C14" s="9" t="s">
        <v>20</v>
      </c>
      <c r="D14" s="57">
        <f>VLOOKUP(C14,'[1]Renúncia da Receita'!$C$10:$G$51,5,FALSE)</f>
        <v>2239</v>
      </c>
      <c r="E14" s="57">
        <v>2142.6994199999999</v>
      </c>
      <c r="F14" s="57" t="s">
        <v>74</v>
      </c>
      <c r="G14" s="57">
        <f>VLOOKUP(C14,'[1]Renúncia da Receita'!$C$10:$H$28,6,FALSE)</f>
        <v>2296.1282690488679</v>
      </c>
      <c r="H14" s="57">
        <f t="shared" si="0"/>
        <v>2393.7137204834448</v>
      </c>
      <c r="I14" s="57">
        <f t="shared" si="1"/>
        <v>2489.4622693027827</v>
      </c>
      <c r="J14" s="115"/>
      <c r="K14" s="36"/>
      <c r="L14" s="36"/>
    </row>
    <row r="15" spans="1:12" ht="16.5" customHeight="1" x14ac:dyDescent="0.2">
      <c r="A15" s="124"/>
      <c r="B15" s="7" t="s">
        <v>16</v>
      </c>
      <c r="C15" s="9" t="s">
        <v>21</v>
      </c>
      <c r="D15" s="57">
        <f>VLOOKUP(C15,'[1]Renúncia da Receita'!$C$10:$G$51,5,FALSE)</f>
        <v>22</v>
      </c>
      <c r="E15" s="57">
        <v>20.731680000000001</v>
      </c>
      <c r="F15" s="57" t="s">
        <v>74</v>
      </c>
      <c r="G15" s="57">
        <f>VLOOKUP(C15,'[1]Renúncia da Receita'!$C$10:$H$28,6,FALSE)</f>
        <v>22.216180239071999</v>
      </c>
      <c r="H15" s="57">
        <f t="shared" si="0"/>
        <v>23.160367899232558</v>
      </c>
      <c r="I15" s="57">
        <f t="shared" si="1"/>
        <v>24.086782615201862</v>
      </c>
      <c r="J15" s="115"/>
      <c r="K15" s="36"/>
      <c r="L15" s="36"/>
    </row>
    <row r="16" spans="1:12" ht="16.5" customHeight="1" x14ac:dyDescent="0.2">
      <c r="A16" s="124"/>
      <c r="B16" s="7" t="s">
        <v>16</v>
      </c>
      <c r="C16" s="9" t="s">
        <v>22</v>
      </c>
      <c r="D16" s="57">
        <f>VLOOKUP(C16,'[1]Renúncia da Receita'!$C$10:$G$51,5,FALSE)</f>
        <v>62</v>
      </c>
      <c r="E16" s="57">
        <v>59.642290000000003</v>
      </c>
      <c r="F16" s="57" t="s">
        <v>74</v>
      </c>
      <c r="G16" s="57">
        <f>VLOOKUP(C16,'[1]Renúncia da Receita'!$C$10:$H$28,6,FALSE)</f>
        <v>63.913000032366</v>
      </c>
      <c r="H16" s="57">
        <f t="shared" si="0"/>
        <v>66.629302533741551</v>
      </c>
      <c r="I16" s="57">
        <f t="shared" si="1"/>
        <v>69.29447463509122</v>
      </c>
      <c r="J16" s="115"/>
      <c r="K16" s="36"/>
      <c r="L16" s="36"/>
    </row>
    <row r="17" spans="1:12" ht="16.5" customHeight="1" x14ac:dyDescent="0.2">
      <c r="A17" s="124"/>
      <c r="B17" s="7" t="s">
        <v>23</v>
      </c>
      <c r="C17" s="9" t="s">
        <v>24</v>
      </c>
      <c r="D17" s="57">
        <f>VLOOKUP(C17,'[1]Renúncia da Receita'!$C$10:$G$51,5,FALSE)</f>
        <v>150</v>
      </c>
      <c r="E17" s="57">
        <v>104.55789</v>
      </c>
      <c r="F17" s="57" t="s">
        <v>74</v>
      </c>
      <c r="G17" s="57">
        <f>VLOOKUP(C17,'[1]Renúncia da Receita'!$C$10:$H$28,6,FALSE)</f>
        <v>112.04479953660601</v>
      </c>
      <c r="H17" s="57">
        <f t="shared" si="0"/>
        <v>116.80670351691177</v>
      </c>
      <c r="I17" s="57">
        <f t="shared" si="1"/>
        <v>121.47897165758825</v>
      </c>
      <c r="J17" s="115"/>
      <c r="K17" s="36"/>
      <c r="L17" s="36"/>
    </row>
    <row r="18" spans="1:12" ht="16.5" customHeight="1" x14ac:dyDescent="0.2">
      <c r="A18" s="124"/>
      <c r="B18" s="7" t="s">
        <v>13</v>
      </c>
      <c r="C18" s="9" t="s">
        <v>25</v>
      </c>
      <c r="D18" s="57">
        <f>VLOOKUP(C18,'[1]Renúncia da Receita'!$C$10:$G$51,5,FALSE)</f>
        <v>5790</v>
      </c>
      <c r="E18" s="57">
        <v>7532.7720199999994</v>
      </c>
      <c r="F18" s="57" t="s">
        <v>75</v>
      </c>
      <c r="G18" s="57">
        <f>8072+1197</f>
        <v>9269</v>
      </c>
      <c r="H18" s="57">
        <f>(G18-1197)*(1+4.25%)</f>
        <v>8415.06</v>
      </c>
      <c r="I18" s="57">
        <f t="shared" si="1"/>
        <v>8751.6623999999993</v>
      </c>
      <c r="J18" s="115"/>
      <c r="K18" s="36"/>
      <c r="L18" s="36"/>
    </row>
    <row r="19" spans="1:12" ht="16.5" customHeight="1" x14ac:dyDescent="0.2">
      <c r="A19" s="124"/>
      <c r="B19" s="7" t="s">
        <v>16</v>
      </c>
      <c r="C19" s="9" t="s">
        <v>26</v>
      </c>
      <c r="D19" s="57">
        <f>VLOOKUP(C19,'[1]Renúncia da Receita'!$C$10:$G$51,5,FALSE)</f>
        <v>5429</v>
      </c>
      <c r="E19" s="57">
        <v>5195.5444000000007</v>
      </c>
      <c r="F19" s="57" t="s">
        <v>74</v>
      </c>
      <c r="G19" s="57">
        <f>VLOOKUP(C19,'[1]Renúncia da Receita'!$C$10:$H$28,6,FALSE)</f>
        <v>5567.5734349797603</v>
      </c>
      <c r="H19" s="57">
        <f t="shared" si="0"/>
        <v>5804.1953059664002</v>
      </c>
      <c r="I19" s="57">
        <f t="shared" si="1"/>
        <v>6036.3631182050567</v>
      </c>
      <c r="J19" s="115"/>
      <c r="K19" s="36"/>
      <c r="L19" s="36"/>
    </row>
    <row r="20" spans="1:12" ht="16.5" customHeight="1" x14ac:dyDescent="0.2">
      <c r="A20" s="124"/>
      <c r="B20" s="7" t="s">
        <v>13</v>
      </c>
      <c r="C20" s="9" t="s">
        <v>27</v>
      </c>
      <c r="D20" s="57">
        <f>VLOOKUP(C20,'[1]Renúncia da Receita'!$C$10:$G$51,5,FALSE)</f>
        <v>3034</v>
      </c>
      <c r="E20" s="57">
        <v>3297.6518685839997</v>
      </c>
      <c r="F20" s="57" t="s">
        <v>75</v>
      </c>
      <c r="G20" s="57">
        <f>3534+1754</f>
        <v>5288</v>
      </c>
      <c r="H20" s="57">
        <f>(G20-1754)*(1+4.25%)</f>
        <v>3684.1950000000002</v>
      </c>
      <c r="I20" s="57">
        <f t="shared" si="1"/>
        <v>3831.5628000000002</v>
      </c>
      <c r="J20" s="115"/>
      <c r="K20" s="36"/>
      <c r="L20" s="36"/>
    </row>
    <row r="21" spans="1:12" ht="16.5" customHeight="1" x14ac:dyDescent="0.2">
      <c r="A21" s="124"/>
      <c r="B21" s="7" t="s">
        <v>16</v>
      </c>
      <c r="C21" s="9" t="s">
        <v>28</v>
      </c>
      <c r="D21" s="57">
        <f>VLOOKUP(C21,'[1]Renúncia da Receita'!$C$10:$G$51,5,FALSE)</f>
        <v>47</v>
      </c>
      <c r="E21" s="57">
        <v>40.803599999999996</v>
      </c>
      <c r="F21" s="57" t="s">
        <v>74</v>
      </c>
      <c r="G21" s="57">
        <f>VLOOKUP(C21,'[1]Renúncia da Receita'!$C$10:$H$28,6,FALSE)</f>
        <v>43.725358099440001</v>
      </c>
      <c r="H21" s="57">
        <f t="shared" si="0"/>
        <v>45.583685818666197</v>
      </c>
      <c r="I21" s="57">
        <f t="shared" si="1"/>
        <v>47.407033251412848</v>
      </c>
      <c r="J21" s="115"/>
      <c r="K21" s="36"/>
      <c r="L21" s="36"/>
    </row>
    <row r="22" spans="1:12" ht="16.5" customHeight="1" x14ac:dyDescent="0.2">
      <c r="A22" s="124"/>
      <c r="B22" s="7" t="s">
        <v>16</v>
      </c>
      <c r="C22" s="10" t="s">
        <v>56</v>
      </c>
      <c r="D22" s="57">
        <f>VLOOKUP(C22,'[1]Renúncia da Receita'!$C$10:$G$51,5,FALSE)</f>
        <v>8350</v>
      </c>
      <c r="E22" s="57"/>
      <c r="F22" s="57" t="s">
        <v>78</v>
      </c>
      <c r="G22" s="57">
        <v>8692</v>
      </c>
      <c r="H22" s="57">
        <f t="shared" si="0"/>
        <v>9061.41</v>
      </c>
      <c r="I22" s="57">
        <f t="shared" si="1"/>
        <v>9423.8664000000008</v>
      </c>
      <c r="J22" s="115"/>
      <c r="K22" s="36"/>
      <c r="L22" s="36"/>
    </row>
    <row r="23" spans="1:12" ht="16.5" customHeight="1" x14ac:dyDescent="0.2">
      <c r="A23" s="124"/>
      <c r="B23" s="7" t="s">
        <v>29</v>
      </c>
      <c r="C23" s="10" t="s">
        <v>30</v>
      </c>
      <c r="D23" s="57">
        <f>VLOOKUP(C23,'[1]Renúncia da Receita'!$C$10:$G$51,5,FALSE)</f>
        <v>4956</v>
      </c>
      <c r="E23" s="57"/>
      <c r="F23" s="57" t="s">
        <v>78</v>
      </c>
      <c r="G23" s="57">
        <v>5159</v>
      </c>
      <c r="H23" s="57">
        <f t="shared" si="0"/>
        <v>5378.2574999999997</v>
      </c>
      <c r="I23" s="57">
        <f t="shared" si="1"/>
        <v>5593.3877999999995</v>
      </c>
      <c r="J23" s="115"/>
      <c r="K23" s="36"/>
      <c r="L23" s="36"/>
    </row>
    <row r="24" spans="1:12" ht="16.5" customHeight="1" x14ac:dyDescent="0.2">
      <c r="A24" s="124"/>
      <c r="B24" s="7" t="s">
        <v>13</v>
      </c>
      <c r="C24" s="10" t="s">
        <v>31</v>
      </c>
      <c r="D24" s="57">
        <f>VLOOKUP(C24,'[1]Renúncia da Receita'!$C$10:$G$51,5,FALSE)</f>
        <v>7735</v>
      </c>
      <c r="E24" s="57"/>
      <c r="F24" s="57" t="s">
        <v>78</v>
      </c>
      <c r="G24" s="57">
        <v>8052</v>
      </c>
      <c r="H24" s="57">
        <f t="shared" si="0"/>
        <v>8394.2099999999991</v>
      </c>
      <c r="I24" s="57">
        <f t="shared" si="1"/>
        <v>8729.9784</v>
      </c>
      <c r="J24" s="115"/>
      <c r="K24" s="36"/>
      <c r="L24" s="36"/>
    </row>
    <row r="25" spans="1:12" ht="16.5" customHeight="1" x14ac:dyDescent="0.2">
      <c r="A25" s="124"/>
      <c r="B25" s="7" t="s">
        <v>29</v>
      </c>
      <c r="C25" s="10" t="s">
        <v>32</v>
      </c>
      <c r="D25" s="57">
        <f>VLOOKUP(C25,'[1]Renúncia da Receita'!$C$10:$G$51,5,FALSE)</f>
        <v>4180</v>
      </c>
      <c r="E25" s="57">
        <v>15.693</v>
      </c>
      <c r="F25" s="57" t="s">
        <v>78</v>
      </c>
      <c r="G25" s="57">
        <v>4351</v>
      </c>
      <c r="H25" s="57">
        <f t="shared" si="0"/>
        <v>4535.9174999999996</v>
      </c>
      <c r="I25" s="57">
        <f t="shared" si="1"/>
        <v>4717.3541999999998</v>
      </c>
      <c r="J25" s="115"/>
      <c r="K25" s="36"/>
      <c r="L25" s="36"/>
    </row>
    <row r="26" spans="1:12" ht="16.5" customHeight="1" x14ac:dyDescent="0.2">
      <c r="A26" s="124"/>
      <c r="B26" s="7" t="s">
        <v>16</v>
      </c>
      <c r="C26" s="10" t="s">
        <v>33</v>
      </c>
      <c r="D26" s="57">
        <f>VLOOKUP(C26,'[1]Renúncia da Receita'!$C$10:$G$51,5,FALSE)</f>
        <v>331</v>
      </c>
      <c r="E26" s="57">
        <v>384.35919999999999</v>
      </c>
      <c r="F26" s="57" t="s">
        <v>74</v>
      </c>
      <c r="G26" s="57">
        <f>VLOOKUP(C26,'[1]Renúncia da Receita'!$C$10:$H$28,6,FALSE)</f>
        <v>411.88139425968001</v>
      </c>
      <c r="H26" s="57">
        <f t="shared" si="0"/>
        <v>429.38635351571639</v>
      </c>
      <c r="I26" s="57">
        <f t="shared" si="1"/>
        <v>446.56180765634508</v>
      </c>
      <c r="J26" s="115"/>
      <c r="K26" s="36"/>
      <c r="L26" s="36"/>
    </row>
    <row r="27" spans="1:12" ht="16.5" customHeight="1" x14ac:dyDescent="0.2">
      <c r="A27" s="124"/>
      <c r="B27" s="30" t="s">
        <v>29</v>
      </c>
      <c r="C27" s="27" t="s">
        <v>34</v>
      </c>
      <c r="D27" s="58">
        <v>6200</v>
      </c>
      <c r="E27" s="58"/>
      <c r="F27" s="58" t="s">
        <v>78</v>
      </c>
      <c r="G27" s="58">
        <v>6454</v>
      </c>
      <c r="H27" s="58">
        <f t="shared" si="0"/>
        <v>6728.2950000000001</v>
      </c>
      <c r="I27" s="58">
        <f t="shared" si="1"/>
        <v>6997.4268000000002</v>
      </c>
      <c r="J27" s="115"/>
      <c r="K27" s="36"/>
      <c r="L27" s="36"/>
    </row>
    <row r="28" spans="1:12" ht="16.5" customHeight="1" x14ac:dyDescent="0.2">
      <c r="A28" s="124"/>
      <c r="B28" s="7" t="s">
        <v>29</v>
      </c>
      <c r="C28" s="10" t="s">
        <v>35</v>
      </c>
      <c r="D28" s="57">
        <f>VLOOKUP(C28,'[1]Renúncia da Receita'!$C$10:$G$51,5,FALSE)</f>
        <v>2440</v>
      </c>
      <c r="E28" s="57"/>
      <c r="F28" s="57" t="s">
        <v>78</v>
      </c>
      <c r="G28" s="57">
        <v>2540</v>
      </c>
      <c r="H28" s="57">
        <f t="shared" si="0"/>
        <v>2647.95</v>
      </c>
      <c r="I28" s="57">
        <f t="shared" si="1"/>
        <v>2753.8679999999999</v>
      </c>
      <c r="J28" s="115"/>
      <c r="K28" s="36"/>
      <c r="L28" s="36"/>
    </row>
    <row r="29" spans="1:12" ht="16.5" customHeight="1" thickBot="1" x14ac:dyDescent="0.25">
      <c r="A29" s="125"/>
      <c r="B29" s="7" t="s">
        <v>57</v>
      </c>
      <c r="C29" s="10" t="s">
        <v>70</v>
      </c>
      <c r="D29" s="57">
        <v>0</v>
      </c>
      <c r="E29" s="57"/>
      <c r="F29" s="57" t="s">
        <v>79</v>
      </c>
      <c r="G29" s="57">
        <v>4389</v>
      </c>
      <c r="H29" s="57">
        <f t="shared" si="0"/>
        <v>4575.5325000000003</v>
      </c>
      <c r="I29" s="57">
        <f t="shared" si="1"/>
        <v>4758.5538000000006</v>
      </c>
      <c r="J29" s="116"/>
      <c r="K29" s="36"/>
      <c r="L29" s="36"/>
    </row>
    <row r="30" spans="1:12" ht="16.5" customHeight="1" x14ac:dyDescent="0.2">
      <c r="A30" s="102" t="s">
        <v>36</v>
      </c>
      <c r="B30" s="12" t="s">
        <v>16</v>
      </c>
      <c r="C30" s="8" t="s">
        <v>37</v>
      </c>
      <c r="D30" s="59">
        <f>VLOOKUP(C30,'[1]Renúncia da Receita'!$C$10:$G$51,5,FALSE)</f>
        <v>24</v>
      </c>
      <c r="E30" s="59">
        <v>22.966349999999998</v>
      </c>
      <c r="F30" s="59" t="s">
        <v>74</v>
      </c>
      <c r="G30" s="59">
        <f>VLOOKUP(C30,'[1]Renúncia da Receita'!$C$29:$H$34,6,FALSE)</f>
        <v>24.61086467829</v>
      </c>
      <c r="H30" s="59">
        <f t="shared" si="0"/>
        <v>25.656826427117323</v>
      </c>
      <c r="I30" s="59">
        <f t="shared" si="1"/>
        <v>26.683099484202017</v>
      </c>
      <c r="J30" s="114" t="s">
        <v>15</v>
      </c>
      <c r="K30" s="36"/>
      <c r="L30" s="36"/>
    </row>
    <row r="31" spans="1:12" ht="16.5" customHeight="1" x14ac:dyDescent="0.2">
      <c r="A31" s="103"/>
      <c r="B31" s="11" t="s">
        <v>38</v>
      </c>
      <c r="C31" s="10" t="s">
        <v>39</v>
      </c>
      <c r="D31" s="57">
        <f>VLOOKUP(C31,'[1]Renúncia da Receita'!$C$10:$G$51,5,FALSE)</f>
        <v>2698</v>
      </c>
      <c r="E31" s="57">
        <v>8028</v>
      </c>
      <c r="F31" s="57" t="s">
        <v>75</v>
      </c>
      <c r="G31" s="57">
        <f>8603+383</f>
        <v>8986</v>
      </c>
      <c r="H31" s="57">
        <f>(G31-383)*(1+4.25%)</f>
        <v>8968.6275000000005</v>
      </c>
      <c r="I31" s="57">
        <f t="shared" si="1"/>
        <v>9327.3726000000006</v>
      </c>
      <c r="J31" s="115"/>
      <c r="K31" s="36"/>
      <c r="L31" s="36"/>
    </row>
    <row r="32" spans="1:12" ht="16.5" customHeight="1" x14ac:dyDescent="0.2">
      <c r="A32" s="103"/>
      <c r="B32" s="11" t="s">
        <v>40</v>
      </c>
      <c r="C32" s="10" t="s">
        <v>56</v>
      </c>
      <c r="D32" s="57">
        <v>6200</v>
      </c>
      <c r="E32" s="57"/>
      <c r="F32" s="57" t="s">
        <v>78</v>
      </c>
      <c r="G32" s="57">
        <f>VLOOKUP(C32,'[1]Renúncia da Receita'!$C$29:$H$34,6,FALSE)</f>
        <v>6454.2</v>
      </c>
      <c r="H32" s="57">
        <f t="shared" si="0"/>
        <v>6728.5034999999998</v>
      </c>
      <c r="I32" s="57">
        <f t="shared" si="1"/>
        <v>6997.6436400000002</v>
      </c>
      <c r="J32" s="115"/>
      <c r="K32" s="36"/>
      <c r="L32" s="36"/>
    </row>
    <row r="33" spans="1:12" ht="16.5" customHeight="1" x14ac:dyDescent="0.2">
      <c r="A33" s="103"/>
      <c r="B33" s="7" t="s">
        <v>40</v>
      </c>
      <c r="C33" s="10" t="s">
        <v>71</v>
      </c>
      <c r="D33" s="57">
        <v>69</v>
      </c>
      <c r="E33" s="57">
        <v>65.803710000000009</v>
      </c>
      <c r="F33" s="57" t="s">
        <v>80</v>
      </c>
      <c r="G33" s="57">
        <f>72-72 + 1814*(1+6.58%)*(1+2.94%)*(1+4.1%) +2016*0</f>
        <v>2071.80030207048</v>
      </c>
      <c r="H33" s="57">
        <f t="shared" si="0"/>
        <v>2159.8518149084753</v>
      </c>
      <c r="I33" s="57">
        <f t="shared" si="1"/>
        <v>2246.2458875048142</v>
      </c>
      <c r="J33" s="115"/>
      <c r="K33" s="36"/>
      <c r="L33" s="36"/>
    </row>
    <row r="34" spans="1:12" ht="16.5" customHeight="1" thickBot="1" x14ac:dyDescent="0.25">
      <c r="A34" s="111"/>
      <c r="B34" s="24" t="s">
        <v>23</v>
      </c>
      <c r="C34" s="28" t="s">
        <v>34</v>
      </c>
      <c r="D34" s="60">
        <v>3100</v>
      </c>
      <c r="E34" s="60"/>
      <c r="F34" s="60" t="s">
        <v>78</v>
      </c>
      <c r="G34" s="60">
        <v>3228</v>
      </c>
      <c r="H34" s="60">
        <f t="shared" si="0"/>
        <v>3365.19</v>
      </c>
      <c r="I34" s="60">
        <f t="shared" si="1"/>
        <v>3499.7976000000003</v>
      </c>
      <c r="J34" s="116"/>
      <c r="K34" s="36"/>
      <c r="L34" s="36"/>
    </row>
    <row r="35" spans="1:12" ht="16.5" customHeight="1" x14ac:dyDescent="0.2">
      <c r="A35" s="110" t="s">
        <v>41</v>
      </c>
      <c r="B35" s="13" t="s">
        <v>13</v>
      </c>
      <c r="C35" s="14" t="s">
        <v>42</v>
      </c>
      <c r="D35" s="61">
        <f>VLOOKUP(C35,'[1]Renúncia da Receita'!$C$10:$G$51,5,FALSE)</f>
        <v>500</v>
      </c>
      <c r="E35" s="61">
        <v>168.642</v>
      </c>
      <c r="F35" s="61" t="s">
        <v>76</v>
      </c>
      <c r="G35" s="61">
        <f>181+1</f>
        <v>182</v>
      </c>
      <c r="H35" s="61">
        <f>(G35-1)*(1+4.25%)</f>
        <v>188.6925</v>
      </c>
      <c r="I35" s="61">
        <f t="shared" si="1"/>
        <v>196.24020000000002</v>
      </c>
      <c r="J35" s="101" t="s">
        <v>15</v>
      </c>
      <c r="K35" s="36"/>
      <c r="L35" s="36"/>
    </row>
    <row r="36" spans="1:12" ht="16.5" customHeight="1" x14ac:dyDescent="0.2">
      <c r="A36" s="110"/>
      <c r="B36" s="7" t="s">
        <v>16</v>
      </c>
      <c r="C36" s="9" t="s">
        <v>43</v>
      </c>
      <c r="D36" s="57">
        <v>382</v>
      </c>
      <c r="E36" s="57">
        <v>691.22400000000005</v>
      </c>
      <c r="F36" s="57" t="s">
        <v>74</v>
      </c>
      <c r="G36" s="57">
        <v>740.71937100959997</v>
      </c>
      <c r="H36" s="57">
        <f t="shared" si="0"/>
        <v>772.19994427750794</v>
      </c>
      <c r="I36" s="57">
        <f t="shared" si="1"/>
        <v>803.08794204860828</v>
      </c>
      <c r="J36" s="101"/>
      <c r="K36" s="36"/>
      <c r="L36" s="36"/>
    </row>
    <row r="37" spans="1:12" ht="16.5" customHeight="1" x14ac:dyDescent="0.2">
      <c r="A37" s="110"/>
      <c r="B37" s="7" t="s">
        <v>16</v>
      </c>
      <c r="C37" s="9" t="s">
        <v>28</v>
      </c>
      <c r="D37" s="57">
        <v>5</v>
      </c>
      <c r="E37" s="57">
        <v>6.2460000000000004</v>
      </c>
      <c r="F37" s="57" t="s">
        <v>74</v>
      </c>
      <c r="G37" s="57">
        <v>6.6932473284</v>
      </c>
      <c r="H37" s="57">
        <f t="shared" si="0"/>
        <v>6.9777103398569995</v>
      </c>
      <c r="I37" s="57">
        <f t="shared" si="1"/>
        <v>7.25681875345128</v>
      </c>
      <c r="J37" s="101"/>
      <c r="K37" s="36"/>
      <c r="L37" s="36"/>
    </row>
    <row r="38" spans="1:12" ht="16.5" customHeight="1" x14ac:dyDescent="0.2">
      <c r="A38" s="110"/>
      <c r="B38" s="7" t="s">
        <v>13</v>
      </c>
      <c r="C38" s="10" t="s">
        <v>44</v>
      </c>
      <c r="D38" s="57">
        <f>VLOOKUP(C38,'[1]Renúncia da Receita'!$C$10:$G$51,5,FALSE)</f>
        <v>101</v>
      </c>
      <c r="E38" s="57">
        <v>109.30500000000001</v>
      </c>
      <c r="F38" s="57" t="s">
        <v>76</v>
      </c>
      <c r="G38" s="57">
        <f>117+4</f>
        <v>121</v>
      </c>
      <c r="H38" s="57">
        <f>(G38-4)*(1+4.25%)</f>
        <v>121.9725</v>
      </c>
      <c r="I38" s="57">
        <f t="shared" si="1"/>
        <v>126.8514</v>
      </c>
      <c r="J38" s="101"/>
      <c r="K38" s="36"/>
      <c r="L38" s="36"/>
    </row>
    <row r="39" spans="1:12" ht="16.5" customHeight="1" x14ac:dyDescent="0.2">
      <c r="A39" s="110"/>
      <c r="B39" s="7" t="s">
        <v>16</v>
      </c>
      <c r="C39" s="10" t="s">
        <v>45</v>
      </c>
      <c r="D39" s="57">
        <f>VLOOKUP(C39,'[1]Renúncia da Receita'!$C$10:$G$51,5,FALSE)</f>
        <v>22</v>
      </c>
      <c r="E39" s="57">
        <v>24.984000000000002</v>
      </c>
      <c r="F39" s="57" t="s">
        <v>74</v>
      </c>
      <c r="G39" s="57">
        <v>26.7729893136</v>
      </c>
      <c r="H39" s="57">
        <f t="shared" si="0"/>
        <v>27.910841359427998</v>
      </c>
      <c r="I39" s="57">
        <f t="shared" si="1"/>
        <v>29.02727501380512</v>
      </c>
      <c r="J39" s="101"/>
      <c r="K39" s="36"/>
      <c r="L39" s="36"/>
    </row>
    <row r="40" spans="1:12" ht="16.5" customHeight="1" x14ac:dyDescent="0.2">
      <c r="A40" s="110"/>
      <c r="B40" s="7" t="s">
        <v>16</v>
      </c>
      <c r="C40" s="10" t="s">
        <v>33</v>
      </c>
      <c r="D40" s="57">
        <v>4</v>
      </c>
      <c r="E40" s="57">
        <v>44.762999999999998</v>
      </c>
      <c r="F40" s="57" t="s">
        <v>74</v>
      </c>
      <c r="G40" s="57">
        <v>47.968272520200003</v>
      </c>
      <c r="H40" s="57">
        <f t="shared" si="0"/>
        <v>50.006924102308503</v>
      </c>
      <c r="I40" s="57">
        <f t="shared" si="1"/>
        <v>52.007201066400846</v>
      </c>
      <c r="J40" s="101"/>
      <c r="K40" s="36"/>
      <c r="L40" s="36"/>
    </row>
    <row r="41" spans="1:12" ht="16.5" customHeight="1" x14ac:dyDescent="0.2">
      <c r="A41" s="110"/>
      <c r="B41" s="7" t="s">
        <v>16</v>
      </c>
      <c r="C41" s="10" t="s">
        <v>46</v>
      </c>
      <c r="D41" s="57">
        <f>VLOOKUP(C41,'[1]Renúncia da Receita'!$C$10:$G$51,5,FALSE)</f>
        <v>2433</v>
      </c>
      <c r="E41" s="57">
        <v>455.95800000000003</v>
      </c>
      <c r="F41" s="57" t="s">
        <v>74</v>
      </c>
      <c r="G41" s="57">
        <v>488.60705497320004</v>
      </c>
      <c r="H41" s="57">
        <f t="shared" si="0"/>
        <v>509.37285480956103</v>
      </c>
      <c r="I41" s="57">
        <f t="shared" si="1"/>
        <v>529.74776900194354</v>
      </c>
      <c r="J41" s="101"/>
      <c r="K41" s="36"/>
      <c r="L41" s="36"/>
    </row>
    <row r="42" spans="1:12" ht="16.5" customHeight="1" x14ac:dyDescent="0.2">
      <c r="A42" s="110"/>
      <c r="B42" s="11" t="s">
        <v>16</v>
      </c>
      <c r="C42" s="15" t="s">
        <v>47</v>
      </c>
      <c r="D42" s="62">
        <f>VLOOKUP(C42,'[1]Renúncia da Receita'!$C$10:$G$51,5,FALSE)</f>
        <v>115</v>
      </c>
      <c r="E42" s="62">
        <v>110.346</v>
      </c>
      <c r="F42" s="62" t="s">
        <v>74</v>
      </c>
      <c r="G42" s="62">
        <v>118.2473694684</v>
      </c>
      <c r="H42" s="62">
        <f t="shared" si="0"/>
        <v>123.27288267080699</v>
      </c>
      <c r="I42" s="62">
        <f t="shared" si="1"/>
        <v>128.20379797763928</v>
      </c>
      <c r="J42" s="101"/>
      <c r="K42" s="36"/>
      <c r="L42" s="36"/>
    </row>
    <row r="43" spans="1:12" ht="16.5" customHeight="1" thickBot="1" x14ac:dyDescent="0.25">
      <c r="A43" s="110"/>
      <c r="B43" s="29" t="s">
        <v>23</v>
      </c>
      <c r="C43" s="27" t="s">
        <v>34</v>
      </c>
      <c r="D43" s="63">
        <v>39</v>
      </c>
      <c r="E43" s="63">
        <v>0</v>
      </c>
      <c r="F43" s="63" t="s">
        <v>78</v>
      </c>
      <c r="G43" s="63">
        <v>40.47138533949235</v>
      </c>
      <c r="H43" s="63">
        <f t="shared" si="0"/>
        <v>42.191419216420776</v>
      </c>
      <c r="I43" s="63">
        <f t="shared" si="1"/>
        <v>43.879075985077606</v>
      </c>
      <c r="J43" s="101"/>
      <c r="K43" s="36"/>
      <c r="L43" s="36"/>
    </row>
    <row r="44" spans="1:12" ht="18.75" customHeight="1" x14ac:dyDescent="0.2">
      <c r="A44" s="102" t="s">
        <v>48</v>
      </c>
      <c r="B44" s="12" t="s">
        <v>16</v>
      </c>
      <c r="C44" s="8" t="s">
        <v>37</v>
      </c>
      <c r="D44" s="59">
        <v>16</v>
      </c>
      <c r="E44" s="59"/>
      <c r="F44" s="59" t="s">
        <v>78</v>
      </c>
      <c r="G44" s="59">
        <v>16.655999999999999</v>
      </c>
      <c r="H44" s="59">
        <f t="shared" si="0"/>
        <v>17.363879999999998</v>
      </c>
      <c r="I44" s="59">
        <f t="shared" si="1"/>
        <v>18.058435199999998</v>
      </c>
      <c r="J44" s="104" t="s">
        <v>15</v>
      </c>
      <c r="K44" s="36"/>
      <c r="L44" s="36"/>
    </row>
    <row r="45" spans="1:12" ht="18.75" customHeight="1" x14ac:dyDescent="0.2">
      <c r="A45" s="103"/>
      <c r="B45" s="7" t="s">
        <v>13</v>
      </c>
      <c r="C45" s="9" t="s">
        <v>31</v>
      </c>
      <c r="D45" s="57">
        <v>5</v>
      </c>
      <c r="E45" s="57"/>
      <c r="F45" s="57" t="s">
        <v>78</v>
      </c>
      <c r="G45" s="57">
        <v>5.2050000000000001</v>
      </c>
      <c r="H45" s="57">
        <f t="shared" si="0"/>
        <v>5.4262125000000001</v>
      </c>
      <c r="I45" s="57">
        <f t="shared" si="1"/>
        <v>5.6432609999999999</v>
      </c>
      <c r="J45" s="105"/>
      <c r="K45" s="36"/>
      <c r="L45" s="36"/>
    </row>
    <row r="46" spans="1:12" ht="18.75" customHeight="1" thickBot="1" x14ac:dyDescent="0.25">
      <c r="A46" s="103"/>
      <c r="B46" s="24" t="s">
        <v>23</v>
      </c>
      <c r="C46" s="27" t="s">
        <v>34</v>
      </c>
      <c r="D46" s="63">
        <v>38.877411469252984</v>
      </c>
      <c r="E46" s="63"/>
      <c r="F46" s="63" t="s">
        <v>78</v>
      </c>
      <c r="G46" s="63">
        <v>40.47138533949235</v>
      </c>
      <c r="H46" s="63">
        <f t="shared" si="0"/>
        <v>42.191419216420776</v>
      </c>
      <c r="I46" s="63">
        <f t="shared" si="1"/>
        <v>43.879075985077606</v>
      </c>
      <c r="J46" s="105"/>
      <c r="K46" s="36"/>
      <c r="L46" s="36"/>
    </row>
    <row r="47" spans="1:12" ht="16.5" customHeight="1" x14ac:dyDescent="0.2">
      <c r="A47" s="106" t="s">
        <v>49</v>
      </c>
      <c r="B47" s="31" t="s">
        <v>29</v>
      </c>
      <c r="C47" s="32" t="s">
        <v>50</v>
      </c>
      <c r="D47" s="64">
        <f>VLOOKUP(C47,'[1]Renúncia da Receita'!$C$10:$G$51,5,FALSE)</f>
        <v>6302</v>
      </c>
      <c r="E47" s="64">
        <v>26.024999999999999</v>
      </c>
      <c r="F47" s="64" t="s">
        <v>78</v>
      </c>
      <c r="G47" s="64">
        <v>6560.3819999999996</v>
      </c>
      <c r="H47" s="64">
        <f t="shared" si="0"/>
        <v>6839.1982349999998</v>
      </c>
      <c r="I47" s="64">
        <f t="shared" si="1"/>
        <v>7112.7661644</v>
      </c>
      <c r="J47" s="104" t="s">
        <v>15</v>
      </c>
      <c r="K47" s="36"/>
      <c r="L47" s="36"/>
    </row>
    <row r="48" spans="1:12" ht="16.5" customHeight="1" x14ac:dyDescent="0.2">
      <c r="A48" s="107"/>
      <c r="B48" s="7" t="s">
        <v>51</v>
      </c>
      <c r="C48" s="10" t="s">
        <v>56</v>
      </c>
      <c r="D48" s="57">
        <v>6569</v>
      </c>
      <c r="E48" s="57"/>
      <c r="F48" s="57" t="s">
        <v>78</v>
      </c>
      <c r="G48" s="57">
        <v>6838.3289999999997</v>
      </c>
      <c r="H48" s="57">
        <f t="shared" si="0"/>
        <v>7128.9579824999992</v>
      </c>
      <c r="I48" s="57">
        <f t="shared" si="1"/>
        <v>7414.1163017999997</v>
      </c>
      <c r="J48" s="105"/>
      <c r="K48" s="36"/>
      <c r="L48" s="36"/>
    </row>
    <row r="49" spans="1:12" ht="16.5" customHeight="1" x14ac:dyDescent="0.2">
      <c r="A49" s="107"/>
      <c r="B49" s="11" t="s">
        <v>40</v>
      </c>
      <c r="C49" s="15" t="s">
        <v>47</v>
      </c>
      <c r="D49" s="62">
        <v>95</v>
      </c>
      <c r="E49" s="62">
        <v>77.034000000000006</v>
      </c>
      <c r="F49" s="62" t="s">
        <v>74</v>
      </c>
      <c r="G49" s="62">
        <v>82.550050383600009</v>
      </c>
      <c r="H49" s="62">
        <f t="shared" si="0"/>
        <v>86.05842752490301</v>
      </c>
      <c r="I49" s="62">
        <f t="shared" si="1"/>
        <v>89.500764625899137</v>
      </c>
      <c r="J49" s="105"/>
      <c r="K49" s="36"/>
      <c r="L49" s="36"/>
    </row>
    <row r="50" spans="1:12" ht="16.5" customHeight="1" thickBot="1" x14ac:dyDescent="0.25">
      <c r="A50" s="108"/>
      <c r="B50" s="24" t="s">
        <v>23</v>
      </c>
      <c r="C50" s="25" t="s">
        <v>34</v>
      </c>
      <c r="D50" s="60">
        <v>337.39068275065</v>
      </c>
      <c r="E50" s="60">
        <v>0</v>
      </c>
      <c r="F50" s="60" t="s">
        <v>78</v>
      </c>
      <c r="G50" s="60">
        <v>351.2237007434266</v>
      </c>
      <c r="H50" s="60">
        <f t="shared" si="0"/>
        <v>366.15070802502225</v>
      </c>
      <c r="I50" s="60">
        <f t="shared" si="1"/>
        <v>380.79673634602318</v>
      </c>
      <c r="J50" s="109"/>
      <c r="K50" s="36"/>
      <c r="L50" s="36"/>
    </row>
    <row r="51" spans="1:12" ht="33.75" customHeight="1" thickBot="1" x14ac:dyDescent="0.25">
      <c r="A51" s="40" t="s">
        <v>52</v>
      </c>
      <c r="B51" s="26" t="s">
        <v>23</v>
      </c>
      <c r="C51" s="25" t="s">
        <v>34</v>
      </c>
      <c r="D51" s="63">
        <v>1076.6052406870058</v>
      </c>
      <c r="E51" s="63"/>
      <c r="F51" s="63" t="s">
        <v>78</v>
      </c>
      <c r="G51" s="63">
        <v>1120.7460555551729</v>
      </c>
      <c r="H51" s="63">
        <f t="shared" si="0"/>
        <v>1168.3777629162678</v>
      </c>
      <c r="I51" s="63">
        <f t="shared" si="1"/>
        <v>1215.1128734329186</v>
      </c>
      <c r="J51" s="47" t="s">
        <v>15</v>
      </c>
      <c r="K51" s="36"/>
      <c r="L51" s="36"/>
    </row>
    <row r="52" spans="1:12" ht="16.5" customHeight="1" thickBot="1" x14ac:dyDescent="0.3">
      <c r="A52" s="98" t="s">
        <v>53</v>
      </c>
      <c r="B52" s="99"/>
      <c r="C52" s="100"/>
      <c r="D52" s="49">
        <f>SUM(D10:D51)</f>
        <v>88818.873334906893</v>
      </c>
      <c r="E52" s="49">
        <f>SUM(E10:E51)</f>
        <v>36015.174638583994</v>
      </c>
      <c r="F52" s="49"/>
      <c r="G52" s="49">
        <f>SUM(G10:G51)</f>
        <v>108182.68122803507</v>
      </c>
      <c r="H52" s="49">
        <f t="shared" ref="H52:I52" si="2">SUM(H10:H51)</f>
        <v>109299.53768022658</v>
      </c>
      <c r="I52" s="49">
        <f t="shared" si="2"/>
        <v>113671.51918743564</v>
      </c>
      <c r="J52" s="17"/>
      <c r="K52" s="36"/>
    </row>
    <row r="53" spans="1:12" ht="16.5" customHeight="1" thickBot="1" x14ac:dyDescent="0.3">
      <c r="A53" s="95" t="s">
        <v>69</v>
      </c>
      <c r="B53" s="96"/>
      <c r="C53" s="97"/>
      <c r="D53" s="16">
        <f>D52-D27-D34-D43-D46-D47-D50-D51</f>
        <v>71725</v>
      </c>
      <c r="E53" s="16">
        <f>E52-E27-E34-E43-E46-E47-E50-E51</f>
        <v>35989.149638583993</v>
      </c>
      <c r="F53" s="42"/>
      <c r="G53" s="16">
        <f>G52-G27-G34-G43-G46-G47-G50-G51</f>
        <v>90387.38670105749</v>
      </c>
      <c r="H53" s="16">
        <f>H52-H27-H34-H43-H46-H47-H50-H51</f>
        <v>90747.943135852445</v>
      </c>
      <c r="I53" s="16">
        <f>I52-I27-I34-I43-I46-I47-I50-I51</f>
        <v>94377.860861286521</v>
      </c>
      <c r="J53" s="17"/>
      <c r="K53" s="36"/>
    </row>
    <row r="54" spans="1:12" ht="16.5" customHeight="1" x14ac:dyDescent="0.25">
      <c r="A54" s="41"/>
      <c r="B54" s="18"/>
      <c r="C54" s="18"/>
      <c r="D54" s="18"/>
      <c r="E54" s="18"/>
      <c r="F54" s="18"/>
      <c r="G54" s="19"/>
      <c r="H54" s="19"/>
      <c r="I54" s="19"/>
      <c r="J54" s="20"/>
    </row>
    <row r="55" spans="1:12" ht="16.5" customHeight="1" x14ac:dyDescent="0.2">
      <c r="A55" s="21" t="s">
        <v>54</v>
      </c>
      <c r="B55" s="20"/>
      <c r="C55" s="20"/>
      <c r="D55" s="20"/>
      <c r="E55" s="20"/>
      <c r="F55" s="20"/>
      <c r="G55" s="56"/>
      <c r="H55" s="20"/>
      <c r="I55" s="20"/>
      <c r="J55" s="20"/>
    </row>
    <row r="56" spans="1:12" ht="16.5" customHeight="1" x14ac:dyDescent="0.2">
      <c r="A56" s="21" t="s">
        <v>55</v>
      </c>
      <c r="B56" s="20"/>
      <c r="C56" s="22"/>
      <c r="D56" s="22"/>
      <c r="E56" s="22"/>
      <c r="F56" s="22"/>
      <c r="G56" s="20"/>
      <c r="H56" s="33"/>
      <c r="I56" s="33"/>
      <c r="J56" s="33"/>
    </row>
    <row r="57" spans="1:12" ht="16.5" customHeight="1" x14ac:dyDescent="0.2">
      <c r="B57" s="20"/>
      <c r="C57" s="20"/>
      <c r="D57" s="20"/>
      <c r="E57" s="20"/>
      <c r="F57" s="20"/>
      <c r="G57" s="20"/>
      <c r="H57" s="33"/>
      <c r="I57" s="33"/>
      <c r="J57" s="33"/>
    </row>
    <row r="58" spans="1:12" ht="16.5" customHeight="1" x14ac:dyDescent="0.2">
      <c r="A58" s="48" t="s">
        <v>58</v>
      </c>
      <c r="G58" s="23"/>
      <c r="H58" s="23"/>
      <c r="I58" s="23"/>
    </row>
    <row r="59" spans="1:12" ht="16.5" customHeight="1" x14ac:dyDescent="0.2">
      <c r="A59" s="35" t="s">
        <v>81</v>
      </c>
    </row>
    <row r="60" spans="1:12" ht="16.5" customHeight="1" x14ac:dyDescent="0.2">
      <c r="A60" s="35" t="s">
        <v>83</v>
      </c>
    </row>
    <row r="61" spans="1:12" ht="16.5" customHeight="1" x14ac:dyDescent="0.2">
      <c r="A61" s="35" t="s">
        <v>82</v>
      </c>
      <c r="B61" s="34"/>
      <c r="C61" s="34"/>
      <c r="D61" s="34"/>
      <c r="E61" s="34"/>
      <c r="F61" s="34"/>
      <c r="G61" s="34"/>
      <c r="H61" s="34"/>
      <c r="I61" s="34"/>
      <c r="J61" s="34"/>
    </row>
    <row r="62" spans="1:12" ht="16.5" customHeight="1" x14ac:dyDescent="0.2">
      <c r="A62" s="35" t="s">
        <v>68</v>
      </c>
      <c r="B62" s="34"/>
      <c r="C62" s="34"/>
      <c r="D62" s="34"/>
      <c r="E62" s="34"/>
      <c r="F62" s="34"/>
      <c r="G62" s="34"/>
      <c r="H62" s="34"/>
      <c r="I62" s="34"/>
      <c r="J62" s="34"/>
    </row>
    <row r="63" spans="1:12" ht="16.5" customHeight="1" x14ac:dyDescent="0.2">
      <c r="A63" s="35" t="s">
        <v>73</v>
      </c>
    </row>
    <row r="64" spans="1:12" ht="16.5" customHeight="1" x14ac:dyDescent="0.2">
      <c r="A64" s="35" t="s">
        <v>72</v>
      </c>
    </row>
    <row r="65" spans="1:9" ht="16.5" customHeight="1" x14ac:dyDescent="0.2">
      <c r="A65" s="35" t="s">
        <v>77</v>
      </c>
      <c r="G65" s="23"/>
      <c r="H65" s="23"/>
      <c r="I65" s="23"/>
    </row>
    <row r="66" spans="1:9" ht="16.5" customHeight="1" x14ac:dyDescent="0.2">
      <c r="G66" s="23"/>
      <c r="H66" s="23"/>
      <c r="I66" s="23"/>
    </row>
  </sheetData>
  <mergeCells count="25">
    <mergeCell ref="A30:A34"/>
    <mergeCell ref="E8:E9"/>
    <mergeCell ref="J30:J34"/>
    <mergeCell ref="G8:G9"/>
    <mergeCell ref="J8:J9"/>
    <mergeCell ref="J10:J29"/>
    <mergeCell ref="D8:D9"/>
    <mergeCell ref="H8:H9"/>
    <mergeCell ref="I8:I9"/>
    <mergeCell ref="B8:B9"/>
    <mergeCell ref="A10:A29"/>
    <mergeCell ref="A53:C53"/>
    <mergeCell ref="A52:C52"/>
    <mergeCell ref="J35:J43"/>
    <mergeCell ref="A44:A46"/>
    <mergeCell ref="J44:J46"/>
    <mergeCell ref="A47:A50"/>
    <mergeCell ref="J47:J50"/>
    <mergeCell ref="A35:A43"/>
    <mergeCell ref="A6:J6"/>
    <mergeCell ref="A1:J1"/>
    <mergeCell ref="A2:J2"/>
    <mergeCell ref="A3:J3"/>
    <mergeCell ref="A4:J4"/>
    <mergeCell ref="A5:J5"/>
  </mergeCells>
  <pageMargins left="0.47" right="0.4" top="0.5" bottom="0.4" header="0.28000000000000003" footer="0.21"/>
  <pageSetup paperSize="9" scale="4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pageSetUpPr fitToPage="1"/>
  </sheetPr>
  <dimension ref="A1:L78"/>
  <sheetViews>
    <sheetView view="pageBreakPreview" zoomScale="90" zoomScaleNormal="75" zoomScaleSheetLayoutView="90" workbookViewId="0">
      <selection activeCell="H15" sqref="H15"/>
    </sheetView>
  </sheetViews>
  <sheetFormatPr defaultRowHeight="16.5" customHeight="1" x14ac:dyDescent="0.2"/>
  <cols>
    <col min="1" max="1" width="21.85546875" style="34" customWidth="1"/>
    <col min="2" max="2" width="42.42578125" style="34" customWidth="1"/>
    <col min="3" max="3" width="91.140625" style="34" bestFit="1" customWidth="1"/>
    <col min="4" max="5" width="17.5703125" style="34" customWidth="1"/>
    <col min="6" max="6" width="18.28515625" style="34" bestFit="1" customWidth="1"/>
    <col min="7" max="8" width="14.7109375" style="34" customWidth="1"/>
    <col min="9" max="9" width="14.140625" style="34" customWidth="1"/>
    <col min="10" max="10" width="51.42578125" style="34" bestFit="1" customWidth="1"/>
    <col min="11" max="16384" width="9.140625" style="34"/>
  </cols>
  <sheetData>
    <row r="1" spans="1:12" ht="16.5" customHeight="1" x14ac:dyDescent="0.2">
      <c r="A1" s="142"/>
      <c r="B1" s="142"/>
      <c r="C1" s="142"/>
      <c r="D1" s="142"/>
      <c r="E1" s="142"/>
      <c r="F1" s="142"/>
      <c r="G1" s="142"/>
      <c r="H1" s="142"/>
      <c r="I1" s="142"/>
      <c r="J1" s="142"/>
    </row>
    <row r="2" spans="1:12" ht="16.5" customHeight="1" x14ac:dyDescent="0.2">
      <c r="A2" s="141" t="s">
        <v>0</v>
      </c>
      <c r="B2" s="141"/>
      <c r="C2" s="141"/>
      <c r="D2" s="141"/>
      <c r="E2" s="141"/>
      <c r="F2" s="141"/>
      <c r="G2" s="141"/>
      <c r="H2" s="141"/>
      <c r="I2" s="141"/>
      <c r="J2" s="141"/>
    </row>
    <row r="3" spans="1:12" ht="16.5" customHeight="1" x14ac:dyDescent="0.2">
      <c r="A3" s="143" t="s">
        <v>1</v>
      </c>
      <c r="B3" s="143"/>
      <c r="C3" s="143"/>
      <c r="D3" s="143"/>
      <c r="E3" s="143"/>
      <c r="F3" s="143"/>
      <c r="G3" s="143"/>
      <c r="H3" s="143"/>
      <c r="I3" s="143"/>
      <c r="J3" s="143"/>
    </row>
    <row r="4" spans="1:12" ht="16.5" customHeight="1" x14ac:dyDescent="0.2">
      <c r="A4" s="143" t="s">
        <v>2</v>
      </c>
      <c r="B4" s="143"/>
      <c r="C4" s="143"/>
      <c r="D4" s="143"/>
      <c r="E4" s="143"/>
      <c r="F4" s="143"/>
      <c r="G4" s="143"/>
      <c r="H4" s="143"/>
      <c r="I4" s="143"/>
      <c r="J4" s="143"/>
    </row>
    <row r="5" spans="1:12" ht="16.5" customHeight="1" x14ac:dyDescent="0.2">
      <c r="A5" s="141" t="s">
        <v>3</v>
      </c>
      <c r="B5" s="141"/>
      <c r="C5" s="141"/>
      <c r="D5" s="141"/>
      <c r="E5" s="141"/>
      <c r="F5" s="141"/>
      <c r="G5" s="141"/>
      <c r="H5" s="141"/>
      <c r="I5" s="141"/>
      <c r="J5" s="141"/>
    </row>
    <row r="6" spans="1:12" ht="16.5" customHeight="1" x14ac:dyDescent="0.2">
      <c r="A6" s="141">
        <v>2019</v>
      </c>
      <c r="B6" s="141"/>
      <c r="C6" s="141"/>
      <c r="D6" s="141"/>
      <c r="E6" s="141"/>
      <c r="F6" s="141"/>
      <c r="G6" s="141"/>
      <c r="H6" s="141"/>
      <c r="I6" s="141"/>
      <c r="J6" s="141"/>
    </row>
    <row r="7" spans="1:12" ht="16.5" customHeight="1" thickBot="1" x14ac:dyDescent="0.25">
      <c r="A7" s="37" t="s">
        <v>4</v>
      </c>
      <c r="B7" s="67"/>
      <c r="G7" s="37"/>
      <c r="H7" s="37"/>
      <c r="I7" s="67"/>
      <c r="J7" s="68" t="s">
        <v>5</v>
      </c>
    </row>
    <row r="8" spans="1:12" s="35" customFormat="1" ht="18" customHeight="1" x14ac:dyDescent="0.25">
      <c r="A8" s="38" t="s">
        <v>6</v>
      </c>
      <c r="B8" s="133" t="s">
        <v>7</v>
      </c>
      <c r="C8" s="69" t="s">
        <v>8</v>
      </c>
      <c r="D8" s="135" t="s">
        <v>84</v>
      </c>
      <c r="E8" s="135" t="s">
        <v>85</v>
      </c>
      <c r="F8" s="69"/>
      <c r="G8" s="137">
        <v>2019</v>
      </c>
      <c r="H8" s="137">
        <v>2020</v>
      </c>
      <c r="I8" s="137">
        <v>2021</v>
      </c>
      <c r="J8" s="139" t="s">
        <v>9</v>
      </c>
    </row>
    <row r="9" spans="1:12" s="35" customFormat="1" ht="20.25" customHeight="1" thickBot="1" x14ac:dyDescent="0.3">
      <c r="A9" s="65" t="s">
        <v>10</v>
      </c>
      <c r="B9" s="134"/>
      <c r="C9" s="70" t="s">
        <v>11</v>
      </c>
      <c r="D9" s="136"/>
      <c r="E9" s="136"/>
      <c r="F9" s="71"/>
      <c r="G9" s="138"/>
      <c r="H9" s="138"/>
      <c r="I9" s="138"/>
      <c r="J9" s="140"/>
    </row>
    <row r="10" spans="1:12" s="35" customFormat="1" ht="16.5" customHeight="1" x14ac:dyDescent="0.25">
      <c r="A10" s="123" t="s">
        <v>12</v>
      </c>
      <c r="B10" s="7" t="s">
        <v>13</v>
      </c>
      <c r="C10" s="8" t="s">
        <v>14</v>
      </c>
      <c r="D10" s="57">
        <f>VLOOKUP(C10,'[1]Renúncia da Receita'!$C$10:$G$51,5,FALSE)</f>
        <v>6557</v>
      </c>
      <c r="E10" s="57">
        <v>6274.4410199999993</v>
      </c>
      <c r="F10" s="57" t="s">
        <v>74</v>
      </c>
      <c r="G10" s="57">
        <f>VLOOKUP(C10,'[1]Renúncia da Receita'!$C$10:$H$28,6,FALSE)</f>
        <v>6723.7248790135081</v>
      </c>
      <c r="H10" s="57">
        <f>G10*(1+4.25%)</f>
        <v>7009.4831863715817</v>
      </c>
      <c r="I10" s="57">
        <f>H10*(1+4%)</f>
        <v>7289.8625138264451</v>
      </c>
      <c r="J10" s="114" t="s">
        <v>15</v>
      </c>
      <c r="K10" s="36"/>
      <c r="L10" s="36"/>
    </row>
    <row r="11" spans="1:12" s="35" customFormat="1" ht="16.5" customHeight="1" x14ac:dyDescent="0.25">
      <c r="A11" s="124"/>
      <c r="B11" s="7" t="s">
        <v>16</v>
      </c>
      <c r="C11" s="9" t="s">
        <v>17</v>
      </c>
      <c r="D11" s="57">
        <f>VLOOKUP(C11,'[1]Renúncia da Receita'!$C$10:$G$51,5,FALSE)</f>
        <v>12</v>
      </c>
      <c r="E11" s="57">
        <v>11.782860000000001</v>
      </c>
      <c r="F11" s="57" t="s">
        <v>74</v>
      </c>
      <c r="G11" s="57">
        <f>VLOOKUP(C11,'[1]Renúncia da Receita'!$C$10:$H$28,6,FALSE)</f>
        <v>12.626576403444</v>
      </c>
      <c r="H11" s="57">
        <f t="shared" ref="H11:H51" si="0">G11*(1+4.25%)</f>
        <v>13.16320590059037</v>
      </c>
      <c r="I11" s="57">
        <f t="shared" ref="I11:I51" si="1">H11*(1+4%)</f>
        <v>13.689734136613986</v>
      </c>
      <c r="J11" s="115"/>
      <c r="K11" s="36"/>
      <c r="L11" s="36"/>
    </row>
    <row r="12" spans="1:12" s="35" customFormat="1" ht="16.5" customHeight="1" x14ac:dyDescent="0.25">
      <c r="A12" s="124"/>
      <c r="B12" s="7" t="s">
        <v>16</v>
      </c>
      <c r="C12" s="9" t="s">
        <v>18</v>
      </c>
      <c r="D12" s="57">
        <f>VLOOKUP(C12,'[1]Renúncia da Receita'!$C$10:$G$51,5,FALSE)</f>
        <v>171</v>
      </c>
      <c r="E12" s="57">
        <v>163.87535999999997</v>
      </c>
      <c r="F12" s="57" t="s">
        <v>74</v>
      </c>
      <c r="G12" s="57">
        <f>VLOOKUP(C12,'[1]Renúncia da Receita'!$C$10:$H$28,6,FALSE)</f>
        <v>175.609720702944</v>
      </c>
      <c r="H12" s="57">
        <f t="shared" si="0"/>
        <v>183.07313383281911</v>
      </c>
      <c r="I12" s="57">
        <f t="shared" si="1"/>
        <v>190.39605918613188</v>
      </c>
      <c r="J12" s="115"/>
      <c r="K12" s="36"/>
      <c r="L12" s="36"/>
    </row>
    <row r="13" spans="1:12" ht="16.5" customHeight="1" x14ac:dyDescent="0.2">
      <c r="A13" s="124"/>
      <c r="B13" s="7" t="s">
        <v>16</v>
      </c>
      <c r="C13" s="9" t="s">
        <v>19</v>
      </c>
      <c r="D13" s="57">
        <f>VLOOKUP(C13,'[1]Renúncia da Receita'!$C$10:$G$51,5,FALSE)</f>
        <v>982</v>
      </c>
      <c r="E13" s="57">
        <v>939.32296999999994</v>
      </c>
      <c r="F13" s="57" t="s">
        <v>74</v>
      </c>
      <c r="G13" s="57">
        <f>VLOOKUP(C13,'[1]Renúncia da Receita'!$C$10:$H$28,6,FALSE)</f>
        <v>1006.583566996038</v>
      </c>
      <c r="H13" s="57">
        <f t="shared" si="0"/>
        <v>1049.3633685933696</v>
      </c>
      <c r="I13" s="57">
        <f t="shared" si="1"/>
        <v>1091.3379033371045</v>
      </c>
      <c r="J13" s="115"/>
      <c r="K13" s="36"/>
      <c r="L13" s="36"/>
    </row>
    <row r="14" spans="1:12" ht="16.5" customHeight="1" x14ac:dyDescent="0.2">
      <c r="A14" s="124"/>
      <c r="B14" s="7" t="s">
        <v>16</v>
      </c>
      <c r="C14" s="9" t="s">
        <v>20</v>
      </c>
      <c r="D14" s="57">
        <f>VLOOKUP(C14,'[1]Renúncia da Receita'!$C$10:$G$51,5,FALSE)</f>
        <v>2239</v>
      </c>
      <c r="E14" s="57">
        <v>2142.6994199999999</v>
      </c>
      <c r="F14" s="57" t="s">
        <v>74</v>
      </c>
      <c r="G14" s="57">
        <f>VLOOKUP(C14,'[1]Renúncia da Receita'!$C$10:$H$28,6,FALSE)</f>
        <v>2296.1282690488679</v>
      </c>
      <c r="H14" s="57">
        <f t="shared" si="0"/>
        <v>2393.7137204834448</v>
      </c>
      <c r="I14" s="57">
        <f t="shared" si="1"/>
        <v>2489.4622693027827</v>
      </c>
      <c r="J14" s="115"/>
      <c r="K14" s="36"/>
      <c r="L14" s="36"/>
    </row>
    <row r="15" spans="1:12" ht="16.5" customHeight="1" x14ac:dyDescent="0.2">
      <c r="A15" s="124"/>
      <c r="B15" s="7" t="s">
        <v>16</v>
      </c>
      <c r="C15" s="9" t="s">
        <v>21</v>
      </c>
      <c r="D15" s="57">
        <f>VLOOKUP(C15,'[1]Renúncia da Receita'!$C$10:$G$51,5,FALSE)</f>
        <v>22</v>
      </c>
      <c r="E15" s="57">
        <v>20.731680000000001</v>
      </c>
      <c r="F15" s="57" t="s">
        <v>74</v>
      </c>
      <c r="G15" s="57">
        <f>VLOOKUP(C15,'[1]Renúncia da Receita'!$C$10:$H$28,6,FALSE)</f>
        <v>22.216180239071999</v>
      </c>
      <c r="H15" s="57">
        <f t="shared" si="0"/>
        <v>23.160367899232558</v>
      </c>
      <c r="I15" s="57">
        <f t="shared" si="1"/>
        <v>24.086782615201862</v>
      </c>
      <c r="J15" s="115"/>
      <c r="K15" s="36"/>
      <c r="L15" s="36"/>
    </row>
    <row r="16" spans="1:12" ht="16.5" customHeight="1" x14ac:dyDescent="0.2">
      <c r="A16" s="124"/>
      <c r="B16" s="7" t="s">
        <v>16</v>
      </c>
      <c r="C16" s="9" t="s">
        <v>22</v>
      </c>
      <c r="D16" s="57">
        <f>VLOOKUP(C16,'[1]Renúncia da Receita'!$C$10:$G$51,5,FALSE)</f>
        <v>62</v>
      </c>
      <c r="E16" s="57">
        <v>59.642290000000003</v>
      </c>
      <c r="F16" s="57" t="s">
        <v>74</v>
      </c>
      <c r="G16" s="57">
        <f>VLOOKUP(C16,'[1]Renúncia da Receita'!$C$10:$H$28,6,FALSE)</f>
        <v>63.913000032366</v>
      </c>
      <c r="H16" s="57">
        <f t="shared" si="0"/>
        <v>66.629302533741551</v>
      </c>
      <c r="I16" s="57">
        <f t="shared" si="1"/>
        <v>69.29447463509122</v>
      </c>
      <c r="J16" s="115"/>
      <c r="K16" s="36"/>
      <c r="L16" s="36"/>
    </row>
    <row r="17" spans="1:12" ht="16.5" customHeight="1" x14ac:dyDescent="0.2">
      <c r="A17" s="124"/>
      <c r="B17" s="7" t="s">
        <v>23</v>
      </c>
      <c r="C17" s="9" t="s">
        <v>24</v>
      </c>
      <c r="D17" s="57">
        <f>VLOOKUP(C17,'[1]Renúncia da Receita'!$C$10:$G$51,5,FALSE)</f>
        <v>150</v>
      </c>
      <c r="E17" s="57">
        <v>104.55789</v>
      </c>
      <c r="F17" s="57" t="s">
        <v>74</v>
      </c>
      <c r="G17" s="57">
        <f>VLOOKUP(C17,'[1]Renúncia da Receita'!$C$10:$H$28,6,FALSE)</f>
        <v>112.04479953660601</v>
      </c>
      <c r="H17" s="57">
        <f t="shared" si="0"/>
        <v>116.80670351691177</v>
      </c>
      <c r="I17" s="57">
        <f t="shared" si="1"/>
        <v>121.47897165758825</v>
      </c>
      <c r="J17" s="115"/>
      <c r="K17" s="36"/>
      <c r="L17" s="36"/>
    </row>
    <row r="18" spans="1:12" ht="16.5" customHeight="1" x14ac:dyDescent="0.2">
      <c r="A18" s="124"/>
      <c r="B18" s="7" t="s">
        <v>13</v>
      </c>
      <c r="C18" s="9" t="s">
        <v>25</v>
      </c>
      <c r="D18" s="57">
        <f>VLOOKUP(C18,'[1]Renúncia da Receita'!$C$10:$G$51,5,FALSE)</f>
        <v>5790</v>
      </c>
      <c r="E18" s="57">
        <v>7532.7720199999994</v>
      </c>
      <c r="F18" s="57" t="s">
        <v>75</v>
      </c>
      <c r="G18" s="57">
        <f>7533*1.041</f>
        <v>7841.8529999999992</v>
      </c>
      <c r="H18" s="57">
        <f>G18*(1+4.25%)</f>
        <v>8175.1317524999986</v>
      </c>
      <c r="I18" s="57">
        <f t="shared" si="1"/>
        <v>8502.1370225999981</v>
      </c>
      <c r="J18" s="115"/>
      <c r="K18" s="36"/>
      <c r="L18" s="36"/>
    </row>
    <row r="19" spans="1:12" ht="16.5" customHeight="1" x14ac:dyDescent="0.2">
      <c r="A19" s="124"/>
      <c r="B19" s="7" t="s">
        <v>16</v>
      </c>
      <c r="C19" s="9" t="s">
        <v>26</v>
      </c>
      <c r="D19" s="57">
        <f>VLOOKUP(C19,'[1]Renúncia da Receita'!$C$10:$G$51,5,FALSE)</f>
        <v>5429</v>
      </c>
      <c r="E19" s="57">
        <v>5195.5444000000007</v>
      </c>
      <c r="F19" s="57" t="s">
        <v>74</v>
      </c>
      <c r="G19" s="57">
        <f>VLOOKUP(C19,'[1]Renúncia da Receita'!$C$10:$H$28,6,FALSE)</f>
        <v>5567.5734349797603</v>
      </c>
      <c r="H19" s="57">
        <f t="shared" si="0"/>
        <v>5804.1953059664002</v>
      </c>
      <c r="I19" s="57">
        <f t="shared" si="1"/>
        <v>6036.3631182050567</v>
      </c>
      <c r="J19" s="115"/>
      <c r="K19" s="36"/>
      <c r="L19" s="36"/>
    </row>
    <row r="20" spans="1:12" ht="16.5" customHeight="1" x14ac:dyDescent="0.2">
      <c r="A20" s="124"/>
      <c r="B20" s="7" t="s">
        <v>13</v>
      </c>
      <c r="C20" s="9" t="s">
        <v>27</v>
      </c>
      <c r="D20" s="57">
        <f>VLOOKUP(C20,'[1]Renúncia da Receita'!$C$10:$G$51,5,FALSE)</f>
        <v>3034</v>
      </c>
      <c r="E20" s="57">
        <v>3297.6518685839997</v>
      </c>
      <c r="F20" s="57" t="s">
        <v>75</v>
      </c>
      <c r="G20" s="57">
        <f>3534+1754</f>
        <v>5288</v>
      </c>
      <c r="H20" s="57">
        <f>(G20-1754)*(1+4.25%)</f>
        <v>3684.1950000000002</v>
      </c>
      <c r="I20" s="57">
        <f t="shared" si="1"/>
        <v>3831.5628000000002</v>
      </c>
      <c r="J20" s="115"/>
      <c r="K20" s="36"/>
      <c r="L20" s="36"/>
    </row>
    <row r="21" spans="1:12" ht="16.5" customHeight="1" x14ac:dyDescent="0.2">
      <c r="A21" s="124"/>
      <c r="B21" s="7" t="s">
        <v>16</v>
      </c>
      <c r="C21" s="9" t="s">
        <v>28</v>
      </c>
      <c r="D21" s="57">
        <f>VLOOKUP(C21,'[1]Renúncia da Receita'!$C$10:$G$51,5,FALSE)</f>
        <v>47</v>
      </c>
      <c r="E21" s="57">
        <v>40.803599999999996</v>
      </c>
      <c r="F21" s="57" t="s">
        <v>74</v>
      </c>
      <c r="G21" s="57">
        <f>VLOOKUP(C21,'[1]Renúncia da Receita'!$C$10:$H$28,6,FALSE)</f>
        <v>43.725358099440001</v>
      </c>
      <c r="H21" s="57">
        <f t="shared" si="0"/>
        <v>45.583685818666197</v>
      </c>
      <c r="I21" s="57">
        <f t="shared" si="1"/>
        <v>47.407033251412848</v>
      </c>
      <c r="J21" s="115"/>
      <c r="K21" s="36"/>
      <c r="L21" s="36"/>
    </row>
    <row r="22" spans="1:12" ht="16.5" customHeight="1" x14ac:dyDescent="0.2">
      <c r="A22" s="124"/>
      <c r="B22" s="7" t="s">
        <v>16</v>
      </c>
      <c r="C22" s="10" t="s">
        <v>56</v>
      </c>
      <c r="D22" s="57">
        <f>VLOOKUP(C22,'[1]Renúncia da Receita'!$C$10:$G$51,5,FALSE)</f>
        <v>8350</v>
      </c>
      <c r="E22" s="57"/>
      <c r="F22" s="57" t="s">
        <v>78</v>
      </c>
      <c r="G22" s="57">
        <v>8692</v>
      </c>
      <c r="H22" s="57">
        <f t="shared" si="0"/>
        <v>9061.41</v>
      </c>
      <c r="I22" s="57">
        <f t="shared" si="1"/>
        <v>9423.8664000000008</v>
      </c>
      <c r="J22" s="115"/>
      <c r="K22" s="36"/>
      <c r="L22" s="36"/>
    </row>
    <row r="23" spans="1:12" ht="16.5" customHeight="1" x14ac:dyDescent="0.2">
      <c r="A23" s="124"/>
      <c r="B23" s="7" t="s">
        <v>29</v>
      </c>
      <c r="C23" s="10" t="s">
        <v>30</v>
      </c>
      <c r="D23" s="57">
        <f>VLOOKUP(C23,'[1]Renúncia da Receita'!$C$10:$G$51,5,FALSE)</f>
        <v>4956</v>
      </c>
      <c r="E23" s="57"/>
      <c r="F23" s="57" t="s">
        <v>78</v>
      </c>
      <c r="G23" s="57">
        <v>5159</v>
      </c>
      <c r="H23" s="57">
        <f t="shared" si="0"/>
        <v>5378.2574999999997</v>
      </c>
      <c r="I23" s="57">
        <f t="shared" si="1"/>
        <v>5593.3877999999995</v>
      </c>
      <c r="J23" s="115"/>
      <c r="K23" s="36"/>
      <c r="L23" s="36"/>
    </row>
    <row r="24" spans="1:12" ht="16.5" customHeight="1" x14ac:dyDescent="0.2">
      <c r="A24" s="124"/>
      <c r="B24" s="7" t="s">
        <v>13</v>
      </c>
      <c r="C24" s="10" t="s">
        <v>31</v>
      </c>
      <c r="D24" s="57">
        <f>VLOOKUP(C24,'[1]Renúncia da Receita'!$C$10:$G$51,5,FALSE)</f>
        <v>7735</v>
      </c>
      <c r="E24" s="57">
        <v>7402</v>
      </c>
      <c r="F24" s="57" t="s">
        <v>78</v>
      </c>
      <c r="G24" s="57">
        <v>8052</v>
      </c>
      <c r="H24" s="57">
        <f t="shared" si="0"/>
        <v>8394.2099999999991</v>
      </c>
      <c r="I24" s="57">
        <f>H24*(1+4%)</f>
        <v>8729.9784</v>
      </c>
      <c r="J24" s="115"/>
      <c r="K24" s="36"/>
      <c r="L24" s="36"/>
    </row>
    <row r="25" spans="1:12" ht="16.5" customHeight="1" x14ac:dyDescent="0.2">
      <c r="A25" s="124"/>
      <c r="B25" s="7" t="s">
        <v>29</v>
      </c>
      <c r="C25" s="10" t="s">
        <v>32</v>
      </c>
      <c r="D25" s="57">
        <f>VLOOKUP(C25,'[1]Renúncia da Receita'!$C$10:$G$51,5,FALSE)</f>
        <v>4180</v>
      </c>
      <c r="E25" s="57"/>
      <c r="F25" s="57" t="s">
        <v>78</v>
      </c>
      <c r="G25" s="57">
        <v>4351</v>
      </c>
      <c r="H25" s="57">
        <f t="shared" si="0"/>
        <v>4535.9174999999996</v>
      </c>
      <c r="I25" s="57">
        <f t="shared" si="1"/>
        <v>4717.3541999999998</v>
      </c>
      <c r="J25" s="115"/>
      <c r="K25" s="36"/>
      <c r="L25" s="36"/>
    </row>
    <row r="26" spans="1:12" ht="16.5" customHeight="1" x14ac:dyDescent="0.2">
      <c r="A26" s="124"/>
      <c r="B26" s="7" t="s">
        <v>16</v>
      </c>
      <c r="C26" s="10" t="s">
        <v>33</v>
      </c>
      <c r="D26" s="57">
        <f>VLOOKUP(C26,'[1]Renúncia da Receita'!$C$10:$G$51,5,FALSE)</f>
        <v>331</v>
      </c>
      <c r="E26" s="57">
        <v>384.35919999999999</v>
      </c>
      <c r="F26" s="57" t="s">
        <v>74</v>
      </c>
      <c r="G26" s="57">
        <f>VLOOKUP(C26,'[1]Renúncia da Receita'!$C$10:$H$28,6,FALSE)</f>
        <v>411.88139425968001</v>
      </c>
      <c r="H26" s="57">
        <f t="shared" si="0"/>
        <v>429.38635351571639</v>
      </c>
      <c r="I26" s="57">
        <f t="shared" si="1"/>
        <v>446.56180765634508</v>
      </c>
      <c r="J26" s="115"/>
      <c r="K26" s="36"/>
      <c r="L26" s="36"/>
    </row>
    <row r="27" spans="1:12" ht="16.5" customHeight="1" x14ac:dyDescent="0.2">
      <c r="A27" s="124"/>
      <c r="B27" s="30" t="s">
        <v>29</v>
      </c>
      <c r="C27" s="89" t="s">
        <v>34</v>
      </c>
      <c r="D27" s="58">
        <v>6200</v>
      </c>
      <c r="E27" s="58"/>
      <c r="F27" s="58" t="s">
        <v>78</v>
      </c>
      <c r="G27" s="58">
        <v>6454</v>
      </c>
      <c r="H27" s="58">
        <f t="shared" si="0"/>
        <v>6728.2950000000001</v>
      </c>
      <c r="I27" s="58">
        <f t="shared" si="1"/>
        <v>6997.4268000000002</v>
      </c>
      <c r="J27" s="115"/>
      <c r="K27" s="36"/>
      <c r="L27" s="36"/>
    </row>
    <row r="28" spans="1:12" ht="16.5" customHeight="1" x14ac:dyDescent="0.2">
      <c r="A28" s="124"/>
      <c r="B28" s="7" t="s">
        <v>29</v>
      </c>
      <c r="C28" s="10" t="s">
        <v>35</v>
      </c>
      <c r="D28" s="57">
        <f>VLOOKUP(C28,'[1]Renúncia da Receita'!$C$10:$G$51,5,FALSE)</f>
        <v>2440</v>
      </c>
      <c r="E28" s="57"/>
      <c r="F28" s="57" t="s">
        <v>78</v>
      </c>
      <c r="G28" s="57">
        <v>2540</v>
      </c>
      <c r="H28" s="57">
        <f t="shared" si="0"/>
        <v>2647.95</v>
      </c>
      <c r="I28" s="57">
        <f t="shared" si="1"/>
        <v>2753.8679999999999</v>
      </c>
      <c r="J28" s="115"/>
      <c r="K28" s="36"/>
      <c r="L28" s="36"/>
    </row>
    <row r="29" spans="1:12" ht="16.5" customHeight="1" thickBot="1" x14ac:dyDescent="0.25">
      <c r="A29" s="125"/>
      <c r="B29" s="7" t="s">
        <v>86</v>
      </c>
      <c r="C29" s="10" t="s">
        <v>91</v>
      </c>
      <c r="D29" s="57">
        <v>0</v>
      </c>
      <c r="E29" s="57"/>
      <c r="F29" s="57" t="s">
        <v>79</v>
      </c>
      <c r="G29" s="57">
        <f>4389/2</f>
        <v>2194.5</v>
      </c>
      <c r="H29" s="57">
        <f t="shared" si="0"/>
        <v>2287.7662500000001</v>
      </c>
      <c r="I29" s="57">
        <f t="shared" si="1"/>
        <v>2379.2769000000003</v>
      </c>
      <c r="J29" s="116"/>
      <c r="K29" s="36"/>
      <c r="L29" s="36"/>
    </row>
    <row r="30" spans="1:12" ht="16.5" customHeight="1" x14ac:dyDescent="0.2">
      <c r="A30" s="102" t="s">
        <v>36</v>
      </c>
      <c r="B30" s="12" t="s">
        <v>16</v>
      </c>
      <c r="C30" s="8" t="s">
        <v>37</v>
      </c>
      <c r="D30" s="59">
        <f>VLOOKUP(C30,'[1]Renúncia da Receita'!$C$10:$G$51,5,FALSE)</f>
        <v>24</v>
      </c>
      <c r="E30" s="59">
        <v>22.966349999999998</v>
      </c>
      <c r="F30" s="59" t="s">
        <v>74</v>
      </c>
      <c r="G30" s="59">
        <f>VLOOKUP(C30,'[1]Renúncia da Receita'!$C$29:$H$34,6,FALSE)</f>
        <v>24.61086467829</v>
      </c>
      <c r="H30" s="59">
        <f t="shared" si="0"/>
        <v>25.656826427117323</v>
      </c>
      <c r="I30" s="59">
        <f t="shared" si="1"/>
        <v>26.683099484202017</v>
      </c>
      <c r="J30" s="114" t="s">
        <v>15</v>
      </c>
      <c r="K30" s="36"/>
      <c r="L30" s="36"/>
    </row>
    <row r="31" spans="1:12" ht="16.5" customHeight="1" x14ac:dyDescent="0.2">
      <c r="A31" s="103"/>
      <c r="B31" s="11" t="s">
        <v>38</v>
      </c>
      <c r="C31" s="10" t="s">
        <v>92</v>
      </c>
      <c r="D31" s="57">
        <v>2698</v>
      </c>
      <c r="E31" s="57">
        <v>2619</v>
      </c>
      <c r="F31" s="57" t="s">
        <v>75</v>
      </c>
      <c r="G31" s="57">
        <f>F78*1.041</f>
        <v>1554.9813287514316</v>
      </c>
      <c r="H31" s="57">
        <f>G31*(1+4.25%)</f>
        <v>1621.0680352233674</v>
      </c>
      <c r="I31" s="57">
        <f t="shared" si="1"/>
        <v>1685.9107566323021</v>
      </c>
      <c r="J31" s="115"/>
      <c r="K31" s="36"/>
      <c r="L31" s="36"/>
    </row>
    <row r="32" spans="1:12" ht="16.5" customHeight="1" x14ac:dyDescent="0.2">
      <c r="A32" s="103"/>
      <c r="B32" s="11" t="s">
        <v>40</v>
      </c>
      <c r="C32" s="10" t="s">
        <v>56</v>
      </c>
      <c r="D32" s="57">
        <v>6200</v>
      </c>
      <c r="E32" s="57"/>
      <c r="F32" s="57" t="s">
        <v>78</v>
      </c>
      <c r="G32" s="57">
        <f>VLOOKUP(C32,'[1]Renúncia da Receita'!$C$29:$H$34,6,FALSE)</f>
        <v>6454.2</v>
      </c>
      <c r="H32" s="57">
        <f t="shared" si="0"/>
        <v>6728.5034999999998</v>
      </c>
      <c r="I32" s="57">
        <f t="shared" si="1"/>
        <v>6997.6436400000002</v>
      </c>
      <c r="J32" s="115"/>
      <c r="K32" s="36"/>
      <c r="L32" s="36"/>
    </row>
    <row r="33" spans="1:12" ht="16.5" customHeight="1" x14ac:dyDescent="0.2">
      <c r="A33" s="103"/>
      <c r="B33" s="7" t="s">
        <v>40</v>
      </c>
      <c r="C33" s="10" t="s">
        <v>71</v>
      </c>
      <c r="D33" s="57">
        <v>69</v>
      </c>
      <c r="E33" s="57">
        <v>65.803710000000009</v>
      </c>
      <c r="F33" s="57" t="s">
        <v>80</v>
      </c>
      <c r="G33" s="57">
        <f>72-72 + 1814*(1+6.58%)*(1+2.94%)*(1+4.1%) +2016*0</f>
        <v>2071.80030207048</v>
      </c>
      <c r="H33" s="57">
        <f t="shared" si="0"/>
        <v>2159.8518149084753</v>
      </c>
      <c r="I33" s="57">
        <f t="shared" si="1"/>
        <v>2246.2458875048142</v>
      </c>
      <c r="J33" s="115"/>
      <c r="K33" s="36"/>
      <c r="L33" s="36"/>
    </row>
    <row r="34" spans="1:12" ht="16.5" customHeight="1" thickBot="1" x14ac:dyDescent="0.25">
      <c r="A34" s="111"/>
      <c r="B34" s="24" t="s">
        <v>23</v>
      </c>
      <c r="C34" s="28" t="s">
        <v>34</v>
      </c>
      <c r="D34" s="60">
        <v>3100</v>
      </c>
      <c r="E34" s="60"/>
      <c r="F34" s="60" t="s">
        <v>78</v>
      </c>
      <c r="G34" s="60">
        <v>3228</v>
      </c>
      <c r="H34" s="60">
        <f t="shared" si="0"/>
        <v>3365.19</v>
      </c>
      <c r="I34" s="60">
        <f t="shared" si="1"/>
        <v>3499.7976000000003</v>
      </c>
      <c r="J34" s="116"/>
      <c r="K34" s="36"/>
      <c r="L34" s="36"/>
    </row>
    <row r="35" spans="1:12" ht="16.5" customHeight="1" x14ac:dyDescent="0.2">
      <c r="A35" s="110" t="s">
        <v>41</v>
      </c>
      <c r="B35" s="13" t="s">
        <v>13</v>
      </c>
      <c r="C35" s="14" t="s">
        <v>42</v>
      </c>
      <c r="D35" s="61">
        <f>VLOOKUP(C35,'[1]Renúncia da Receita'!$C$10:$G$51,5,FALSE)</f>
        <v>500</v>
      </c>
      <c r="E35" s="61">
        <v>168.642</v>
      </c>
      <c r="F35" s="61" t="s">
        <v>76</v>
      </c>
      <c r="G35" s="61">
        <f>181+1</f>
        <v>182</v>
      </c>
      <c r="H35" s="61">
        <f>(G35-1)*(1+4.25%)</f>
        <v>188.6925</v>
      </c>
      <c r="I35" s="61">
        <f t="shared" si="1"/>
        <v>196.24020000000002</v>
      </c>
      <c r="J35" s="132" t="s">
        <v>15</v>
      </c>
      <c r="K35" s="36"/>
      <c r="L35" s="36"/>
    </row>
    <row r="36" spans="1:12" ht="16.5" customHeight="1" x14ac:dyDescent="0.2">
      <c r="A36" s="110"/>
      <c r="B36" s="7" t="s">
        <v>16</v>
      </c>
      <c r="C36" s="9" t="s">
        <v>43</v>
      </c>
      <c r="D36" s="57">
        <v>382</v>
      </c>
      <c r="E36" s="57">
        <v>691.22400000000005</v>
      </c>
      <c r="F36" s="57" t="s">
        <v>74</v>
      </c>
      <c r="G36" s="57">
        <v>740.71937100959997</v>
      </c>
      <c r="H36" s="57">
        <f t="shared" si="0"/>
        <v>772.19994427750794</v>
      </c>
      <c r="I36" s="57">
        <f t="shared" si="1"/>
        <v>803.08794204860828</v>
      </c>
      <c r="J36" s="132"/>
      <c r="K36" s="36"/>
      <c r="L36" s="36"/>
    </row>
    <row r="37" spans="1:12" ht="16.5" customHeight="1" x14ac:dyDescent="0.2">
      <c r="A37" s="110"/>
      <c r="B37" s="7" t="s">
        <v>16</v>
      </c>
      <c r="C37" s="9" t="s">
        <v>28</v>
      </c>
      <c r="D37" s="57">
        <v>5</v>
      </c>
      <c r="E37" s="57">
        <v>6.2460000000000004</v>
      </c>
      <c r="F37" s="57" t="s">
        <v>74</v>
      </c>
      <c r="G37" s="57">
        <v>6.6932473284</v>
      </c>
      <c r="H37" s="57">
        <f t="shared" si="0"/>
        <v>6.9777103398569995</v>
      </c>
      <c r="I37" s="57">
        <f t="shared" si="1"/>
        <v>7.25681875345128</v>
      </c>
      <c r="J37" s="132"/>
      <c r="K37" s="36"/>
      <c r="L37" s="36"/>
    </row>
    <row r="38" spans="1:12" ht="16.5" customHeight="1" x14ac:dyDescent="0.2">
      <c r="A38" s="110"/>
      <c r="B38" s="7" t="s">
        <v>13</v>
      </c>
      <c r="C38" s="10" t="s">
        <v>44</v>
      </c>
      <c r="D38" s="57">
        <f>VLOOKUP(C38,'[1]Renúncia da Receita'!$C$10:$G$51,5,FALSE)</f>
        <v>101</v>
      </c>
      <c r="E38" s="57">
        <v>109.30500000000001</v>
      </c>
      <c r="F38" s="57" t="s">
        <v>76</v>
      </c>
      <c r="G38" s="57">
        <f>117+4</f>
        <v>121</v>
      </c>
      <c r="H38" s="57">
        <f>(G38-4)*(1+4.25%)</f>
        <v>121.9725</v>
      </c>
      <c r="I38" s="57">
        <f t="shared" si="1"/>
        <v>126.8514</v>
      </c>
      <c r="J38" s="132"/>
      <c r="K38" s="36"/>
      <c r="L38" s="36"/>
    </row>
    <row r="39" spans="1:12" ht="16.5" customHeight="1" x14ac:dyDescent="0.2">
      <c r="A39" s="110"/>
      <c r="B39" s="7" t="s">
        <v>16</v>
      </c>
      <c r="C39" s="10" t="s">
        <v>45</v>
      </c>
      <c r="D39" s="57">
        <f>VLOOKUP(C39,'[1]Renúncia da Receita'!$C$10:$G$51,5,FALSE)</f>
        <v>22</v>
      </c>
      <c r="E39" s="57">
        <v>24.984000000000002</v>
      </c>
      <c r="F39" s="57" t="s">
        <v>74</v>
      </c>
      <c r="G39" s="57">
        <v>26.7729893136</v>
      </c>
      <c r="H39" s="57">
        <f t="shared" si="0"/>
        <v>27.910841359427998</v>
      </c>
      <c r="I39" s="57">
        <f t="shared" si="1"/>
        <v>29.02727501380512</v>
      </c>
      <c r="J39" s="132"/>
      <c r="K39" s="36"/>
      <c r="L39" s="36"/>
    </row>
    <row r="40" spans="1:12" ht="16.5" customHeight="1" x14ac:dyDescent="0.2">
      <c r="A40" s="110"/>
      <c r="B40" s="7" t="s">
        <v>16</v>
      </c>
      <c r="C40" s="10" t="s">
        <v>33</v>
      </c>
      <c r="D40" s="57">
        <v>4</v>
      </c>
      <c r="E40" s="57">
        <v>44.762999999999998</v>
      </c>
      <c r="F40" s="57" t="s">
        <v>74</v>
      </c>
      <c r="G40" s="57">
        <v>47.968272520200003</v>
      </c>
      <c r="H40" s="57">
        <f t="shared" si="0"/>
        <v>50.006924102308503</v>
      </c>
      <c r="I40" s="57">
        <f t="shared" si="1"/>
        <v>52.007201066400846</v>
      </c>
      <c r="J40" s="132"/>
      <c r="K40" s="36"/>
      <c r="L40" s="36"/>
    </row>
    <row r="41" spans="1:12" ht="16.5" customHeight="1" x14ac:dyDescent="0.2">
      <c r="A41" s="110"/>
      <c r="B41" s="7" t="s">
        <v>16</v>
      </c>
      <c r="C41" s="10" t="s">
        <v>46</v>
      </c>
      <c r="D41" s="57">
        <f>VLOOKUP(C41,'[1]Renúncia da Receita'!$C$10:$G$51,5,FALSE)</f>
        <v>2433</v>
      </c>
      <c r="E41" s="57">
        <v>455.95800000000003</v>
      </c>
      <c r="F41" s="57" t="s">
        <v>74</v>
      </c>
      <c r="G41" s="57">
        <v>488.60705497320004</v>
      </c>
      <c r="H41" s="57">
        <f t="shared" si="0"/>
        <v>509.37285480956103</v>
      </c>
      <c r="I41" s="57">
        <f t="shared" si="1"/>
        <v>529.74776900194354</v>
      </c>
      <c r="J41" s="132"/>
      <c r="K41" s="36"/>
      <c r="L41" s="36"/>
    </row>
    <row r="42" spans="1:12" ht="16.5" customHeight="1" x14ac:dyDescent="0.2">
      <c r="A42" s="110"/>
      <c r="B42" s="11" t="s">
        <v>16</v>
      </c>
      <c r="C42" s="15" t="s">
        <v>47</v>
      </c>
      <c r="D42" s="62">
        <f>VLOOKUP(C42,'[1]Renúncia da Receita'!$C$10:$G$51,5,FALSE)</f>
        <v>115</v>
      </c>
      <c r="E42" s="62">
        <v>110.346</v>
      </c>
      <c r="F42" s="62" t="s">
        <v>74</v>
      </c>
      <c r="G42" s="62">
        <v>118.2473694684</v>
      </c>
      <c r="H42" s="62">
        <f t="shared" si="0"/>
        <v>123.27288267080699</v>
      </c>
      <c r="I42" s="62">
        <f t="shared" si="1"/>
        <v>128.20379797763928</v>
      </c>
      <c r="J42" s="132"/>
      <c r="K42" s="36"/>
      <c r="L42" s="36"/>
    </row>
    <row r="43" spans="1:12" ht="16.5" customHeight="1" thickBot="1" x14ac:dyDescent="0.25">
      <c r="A43" s="110"/>
      <c r="B43" s="29" t="s">
        <v>23</v>
      </c>
      <c r="C43" s="27" t="s">
        <v>34</v>
      </c>
      <c r="D43" s="63">
        <v>39</v>
      </c>
      <c r="E43" s="63">
        <v>0</v>
      </c>
      <c r="F43" s="63" t="s">
        <v>78</v>
      </c>
      <c r="G43" s="63">
        <v>40.47138533949235</v>
      </c>
      <c r="H43" s="63">
        <f t="shared" si="0"/>
        <v>42.191419216420776</v>
      </c>
      <c r="I43" s="63">
        <f t="shared" si="1"/>
        <v>43.879075985077606</v>
      </c>
      <c r="J43" s="132"/>
      <c r="K43" s="36"/>
      <c r="L43" s="36"/>
    </row>
    <row r="44" spans="1:12" ht="18.75" customHeight="1" x14ac:dyDescent="0.2">
      <c r="A44" s="102" t="s">
        <v>48</v>
      </c>
      <c r="B44" s="12" t="s">
        <v>16</v>
      </c>
      <c r="C44" s="8" t="s">
        <v>37</v>
      </c>
      <c r="D44" s="59">
        <v>16</v>
      </c>
      <c r="E44" s="59">
        <v>15</v>
      </c>
      <c r="F44" s="59" t="s">
        <v>78</v>
      </c>
      <c r="G44" s="59">
        <v>16.655999999999999</v>
      </c>
      <c r="H44" s="59">
        <f t="shared" si="0"/>
        <v>17.363879999999998</v>
      </c>
      <c r="I44" s="59">
        <f t="shared" si="1"/>
        <v>18.058435199999998</v>
      </c>
      <c r="J44" s="126" t="s">
        <v>15</v>
      </c>
      <c r="K44" s="36"/>
      <c r="L44" s="36"/>
    </row>
    <row r="45" spans="1:12" ht="18.75" customHeight="1" x14ac:dyDescent="0.2">
      <c r="A45" s="103"/>
      <c r="B45" s="7" t="s">
        <v>13</v>
      </c>
      <c r="C45" s="9" t="s">
        <v>31</v>
      </c>
      <c r="D45" s="57">
        <v>5</v>
      </c>
      <c r="E45" s="57">
        <v>2.6</v>
      </c>
      <c r="F45" s="57" t="s">
        <v>78</v>
      </c>
      <c r="G45" s="57">
        <v>5.2050000000000001</v>
      </c>
      <c r="H45" s="57">
        <f t="shared" si="0"/>
        <v>5.4262125000000001</v>
      </c>
      <c r="I45" s="57">
        <f t="shared" si="1"/>
        <v>5.6432609999999999</v>
      </c>
      <c r="J45" s="127"/>
      <c r="K45" s="36"/>
      <c r="L45" s="36"/>
    </row>
    <row r="46" spans="1:12" ht="18.75" customHeight="1" thickBot="1" x14ac:dyDescent="0.25">
      <c r="A46" s="103"/>
      <c r="B46" s="24" t="s">
        <v>23</v>
      </c>
      <c r="C46" s="27" t="s">
        <v>34</v>
      </c>
      <c r="D46" s="63">
        <v>38.877411469252984</v>
      </c>
      <c r="E46" s="63"/>
      <c r="F46" s="63" t="s">
        <v>78</v>
      </c>
      <c r="G46" s="63">
        <v>40.47138533949235</v>
      </c>
      <c r="H46" s="63">
        <f t="shared" si="0"/>
        <v>42.191419216420776</v>
      </c>
      <c r="I46" s="63">
        <f t="shared" si="1"/>
        <v>43.879075985077606</v>
      </c>
      <c r="J46" s="127"/>
      <c r="K46" s="36"/>
      <c r="L46" s="36"/>
    </row>
    <row r="47" spans="1:12" ht="16.5" customHeight="1" x14ac:dyDescent="0.2">
      <c r="A47" s="106" t="s">
        <v>49</v>
      </c>
      <c r="B47" s="31" t="s">
        <v>29</v>
      </c>
      <c r="C47" s="32" t="s">
        <v>50</v>
      </c>
      <c r="D47" s="64">
        <f>VLOOKUP(C47,'[1]Renúncia da Receita'!$C$10:$G$51,5,FALSE)</f>
        <v>6302</v>
      </c>
      <c r="E47" s="64">
        <v>26.024999999999999</v>
      </c>
      <c r="F47" s="64" t="s">
        <v>78</v>
      </c>
      <c r="G47" s="64">
        <v>6560.3819999999996</v>
      </c>
      <c r="H47" s="64">
        <f t="shared" si="0"/>
        <v>6839.1982349999998</v>
      </c>
      <c r="I47" s="64">
        <f t="shared" si="1"/>
        <v>7112.7661644</v>
      </c>
      <c r="J47" s="126" t="s">
        <v>15</v>
      </c>
      <c r="K47" s="36"/>
      <c r="L47" s="36"/>
    </row>
    <row r="48" spans="1:12" ht="16.5" customHeight="1" x14ac:dyDescent="0.2">
      <c r="A48" s="107"/>
      <c r="B48" s="7" t="s">
        <v>51</v>
      </c>
      <c r="C48" s="10" t="s">
        <v>56</v>
      </c>
      <c r="D48" s="57">
        <v>6569</v>
      </c>
      <c r="E48" s="57"/>
      <c r="F48" s="57" t="s">
        <v>78</v>
      </c>
      <c r="G48" s="57">
        <v>6838.3289999999997</v>
      </c>
      <c r="H48" s="57">
        <f t="shared" si="0"/>
        <v>7128.9579824999992</v>
      </c>
      <c r="I48" s="57">
        <f t="shared" si="1"/>
        <v>7414.1163017999997</v>
      </c>
      <c r="J48" s="127"/>
      <c r="K48" s="36"/>
      <c r="L48" s="36"/>
    </row>
    <row r="49" spans="1:12" ht="16.5" customHeight="1" x14ac:dyDescent="0.2">
      <c r="A49" s="107"/>
      <c r="B49" s="11" t="s">
        <v>40</v>
      </c>
      <c r="C49" s="15" t="s">
        <v>47</v>
      </c>
      <c r="D49" s="62">
        <v>95</v>
      </c>
      <c r="E49" s="62">
        <v>77.034000000000006</v>
      </c>
      <c r="F49" s="62" t="s">
        <v>74</v>
      </c>
      <c r="G49" s="62">
        <v>82.550050383600009</v>
      </c>
      <c r="H49" s="62">
        <f t="shared" si="0"/>
        <v>86.05842752490301</v>
      </c>
      <c r="I49" s="62">
        <f t="shared" si="1"/>
        <v>89.500764625899137</v>
      </c>
      <c r="J49" s="127"/>
      <c r="K49" s="36"/>
      <c r="L49" s="36"/>
    </row>
    <row r="50" spans="1:12" ht="16.5" customHeight="1" thickBot="1" x14ac:dyDescent="0.25">
      <c r="A50" s="108"/>
      <c r="B50" s="24" t="s">
        <v>23</v>
      </c>
      <c r="C50" s="25" t="s">
        <v>34</v>
      </c>
      <c r="D50" s="60">
        <v>337.39068275065</v>
      </c>
      <c r="E50" s="60">
        <v>0</v>
      </c>
      <c r="F50" s="60" t="s">
        <v>78</v>
      </c>
      <c r="G50" s="60">
        <v>351.2237007434266</v>
      </c>
      <c r="H50" s="60">
        <f t="shared" si="0"/>
        <v>366.15070802502225</v>
      </c>
      <c r="I50" s="60">
        <f t="shared" si="1"/>
        <v>380.79673634602318</v>
      </c>
      <c r="J50" s="128"/>
      <c r="K50" s="36"/>
      <c r="L50" s="36"/>
    </row>
    <row r="51" spans="1:12" ht="33.75" customHeight="1" thickBot="1" x14ac:dyDescent="0.25">
      <c r="A51" s="40" t="s">
        <v>52</v>
      </c>
      <c r="B51" s="26" t="s">
        <v>23</v>
      </c>
      <c r="C51" s="25" t="s">
        <v>34</v>
      </c>
      <c r="D51" s="63">
        <v>1076.6052406870058</v>
      </c>
      <c r="E51" s="63"/>
      <c r="F51" s="63" t="s">
        <v>78</v>
      </c>
      <c r="G51" s="63">
        <v>1120.7460555551729</v>
      </c>
      <c r="H51" s="63">
        <f t="shared" si="0"/>
        <v>1168.3777629162678</v>
      </c>
      <c r="I51" s="63">
        <f t="shared" si="1"/>
        <v>1215.1128734329186</v>
      </c>
      <c r="J51" s="47" t="s">
        <v>15</v>
      </c>
      <c r="K51" s="36"/>
      <c r="L51" s="36"/>
    </row>
    <row r="52" spans="1:12" ht="16.5" customHeight="1" thickBot="1" x14ac:dyDescent="0.3">
      <c r="A52" s="129" t="s">
        <v>53</v>
      </c>
      <c r="B52" s="130"/>
      <c r="C52" s="131"/>
      <c r="D52" s="78">
        <f>SUM(D10:D51)</f>
        <v>88818.873334906893</v>
      </c>
      <c r="E52" s="78">
        <f>SUM(E10:E51)</f>
        <v>38010.081638583993</v>
      </c>
      <c r="F52" s="78"/>
      <c r="G52" s="78">
        <f>SUM(G10:G51)</f>
        <v>97130.0155567865</v>
      </c>
      <c r="H52" s="78">
        <f t="shared" ref="H52:I52" si="2">SUM(H10:H51)</f>
        <v>99424.283717949933</v>
      </c>
      <c r="I52" s="78">
        <f t="shared" si="2"/>
        <v>103401.25506666795</v>
      </c>
      <c r="J52" s="79"/>
      <c r="K52" s="36"/>
    </row>
    <row r="53" spans="1:12" ht="16.5" customHeight="1" x14ac:dyDescent="0.25">
      <c r="A53" s="41"/>
      <c r="B53" s="41"/>
      <c r="C53" s="41"/>
      <c r="D53" s="41"/>
      <c r="E53" s="41"/>
      <c r="F53" s="41"/>
      <c r="G53" s="80"/>
      <c r="H53" s="80"/>
      <c r="I53" s="80"/>
      <c r="J53" s="81"/>
    </row>
    <row r="54" spans="1:12" ht="16.5" customHeight="1" x14ac:dyDescent="0.2">
      <c r="A54" s="21" t="s">
        <v>54</v>
      </c>
      <c r="B54" s="81"/>
      <c r="C54" s="81"/>
      <c r="D54" s="81"/>
      <c r="E54" s="81"/>
      <c r="F54" s="81"/>
      <c r="G54" s="82"/>
      <c r="H54" s="81"/>
      <c r="I54" s="81"/>
      <c r="J54" s="81"/>
    </row>
    <row r="55" spans="1:12" ht="16.5" customHeight="1" x14ac:dyDescent="0.2">
      <c r="A55" s="21" t="s">
        <v>55</v>
      </c>
      <c r="B55" s="81"/>
      <c r="C55" s="22"/>
      <c r="D55" s="22"/>
      <c r="E55" s="85"/>
      <c r="F55" s="22"/>
      <c r="G55" s="81"/>
      <c r="H55" s="83"/>
      <c r="I55" s="83"/>
      <c r="J55" s="83"/>
    </row>
    <row r="56" spans="1:12" ht="16.5" customHeight="1" x14ac:dyDescent="0.2">
      <c r="B56" s="81"/>
      <c r="C56" s="81"/>
      <c r="D56" s="81"/>
      <c r="E56" s="81"/>
      <c r="F56" s="81"/>
      <c r="G56" s="81"/>
      <c r="H56" s="83"/>
      <c r="I56" s="83"/>
      <c r="J56" s="83"/>
    </row>
    <row r="57" spans="1:12" ht="16.5" customHeight="1" x14ac:dyDescent="0.2">
      <c r="A57" s="48"/>
      <c r="G57" s="84"/>
      <c r="H57" s="84"/>
      <c r="I57" s="84"/>
    </row>
    <row r="58" spans="1:12" ht="16.5" customHeight="1" x14ac:dyDescent="0.2">
      <c r="A58" s="35"/>
    </row>
    <row r="59" spans="1:12" ht="16.5" customHeight="1" x14ac:dyDescent="0.2">
      <c r="A59" s="48" t="s">
        <v>58</v>
      </c>
    </row>
    <row r="60" spans="1:12" ht="16.5" customHeight="1" x14ac:dyDescent="0.2">
      <c r="A60" s="35" t="s">
        <v>81</v>
      </c>
    </row>
    <row r="61" spans="1:12" ht="16.5" customHeight="1" x14ac:dyDescent="0.2">
      <c r="A61" s="35" t="s">
        <v>88</v>
      </c>
    </row>
    <row r="62" spans="1:12" ht="16.5" customHeight="1" x14ac:dyDescent="0.2">
      <c r="A62" s="35" t="s">
        <v>82</v>
      </c>
    </row>
    <row r="63" spans="1:12" ht="16.5" customHeight="1" x14ac:dyDescent="0.2">
      <c r="A63" s="35" t="s">
        <v>89</v>
      </c>
    </row>
    <row r="64" spans="1:12" ht="16.5" customHeight="1" x14ac:dyDescent="0.2">
      <c r="A64" s="35" t="s">
        <v>90</v>
      </c>
      <c r="G64" s="84"/>
      <c r="H64" s="84"/>
      <c r="I64" s="84"/>
    </row>
    <row r="65" spans="1:9" ht="16.5" customHeight="1" x14ac:dyDescent="0.2">
      <c r="A65" s="35" t="s">
        <v>72</v>
      </c>
      <c r="G65" s="84"/>
      <c r="H65" s="84"/>
      <c r="I65" s="84"/>
    </row>
    <row r="66" spans="1:9" ht="16.5" customHeight="1" x14ac:dyDescent="0.2">
      <c r="A66" s="34" t="s">
        <v>93</v>
      </c>
    </row>
    <row r="68" spans="1:9" ht="16.5" customHeight="1" x14ac:dyDescent="0.2">
      <c r="A68" s="35" t="s">
        <v>77</v>
      </c>
    </row>
    <row r="77" spans="1:9" ht="16.5" customHeight="1" x14ac:dyDescent="0.2">
      <c r="E77" s="34">
        <v>2619</v>
      </c>
      <c r="F77" s="34">
        <v>2698</v>
      </c>
    </row>
    <row r="78" spans="1:9" ht="16.5" customHeight="1" x14ac:dyDescent="0.2">
      <c r="E78" s="34">
        <f>E77-1169</f>
        <v>1450</v>
      </c>
      <c r="F78" s="34">
        <f>E78*F77/E77</f>
        <v>1493.738067964872</v>
      </c>
    </row>
  </sheetData>
  <mergeCells count="24">
    <mergeCell ref="A6:J6"/>
    <mergeCell ref="A1:J1"/>
    <mergeCell ref="A2:J2"/>
    <mergeCell ref="A3:J3"/>
    <mergeCell ref="A4:J4"/>
    <mergeCell ref="A5:J5"/>
    <mergeCell ref="A35:A43"/>
    <mergeCell ref="J35:J43"/>
    <mergeCell ref="B8:B9"/>
    <mergeCell ref="D8:D9"/>
    <mergeCell ref="E8:E9"/>
    <mergeCell ref="G8:G9"/>
    <mergeCell ref="H8:H9"/>
    <mergeCell ref="I8:I9"/>
    <mergeCell ref="J8:J9"/>
    <mergeCell ref="A10:A29"/>
    <mergeCell ref="J10:J29"/>
    <mergeCell ref="A30:A34"/>
    <mergeCell ref="J30:J34"/>
    <mergeCell ref="A44:A46"/>
    <mergeCell ref="J44:J46"/>
    <mergeCell ref="A47:A50"/>
    <mergeCell ref="J47:J50"/>
    <mergeCell ref="A52:C52"/>
  </mergeCells>
  <pageMargins left="0.47" right="0.4" top="0.5" bottom="0.4" header="0.28000000000000003" footer="0.21"/>
  <pageSetup paperSize="9" scale="4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3"/>
    <pageSetUpPr fitToPage="1"/>
  </sheetPr>
  <dimension ref="A1:I70"/>
  <sheetViews>
    <sheetView showGridLines="0" tabSelected="1" view="pageBreakPreview" zoomScale="75" zoomScaleNormal="75" zoomScaleSheetLayoutView="75" workbookViewId="0">
      <selection activeCell="C26" sqref="C26"/>
    </sheetView>
  </sheetViews>
  <sheetFormatPr defaultRowHeight="16.5" customHeight="1" x14ac:dyDescent="0.2"/>
  <cols>
    <col min="1" max="1" width="21.85546875" style="34" customWidth="1"/>
    <col min="2" max="2" width="42.42578125" style="34" customWidth="1"/>
    <col min="3" max="3" width="91.140625" style="34" bestFit="1" customWidth="1"/>
    <col min="4" max="5" width="14.7109375" style="34" customWidth="1"/>
    <col min="6" max="6" width="14.140625" style="34" customWidth="1"/>
    <col min="7" max="7" width="51.42578125" style="34" bestFit="1" customWidth="1"/>
    <col min="8" max="16384" width="9.140625" style="34"/>
  </cols>
  <sheetData>
    <row r="1" spans="1:9" ht="16.5" customHeight="1" x14ac:dyDescent="0.25">
      <c r="A1" s="144"/>
      <c r="B1" s="144"/>
      <c r="C1" s="144"/>
      <c r="D1" s="144"/>
      <c r="E1" s="144"/>
      <c r="F1" s="144"/>
      <c r="G1" s="144"/>
    </row>
    <row r="2" spans="1:9" ht="16.5" customHeight="1" x14ac:dyDescent="0.2">
      <c r="A2" s="141" t="s">
        <v>0</v>
      </c>
      <c r="B2" s="141"/>
      <c r="C2" s="141"/>
      <c r="D2" s="141"/>
      <c r="E2" s="141"/>
      <c r="F2" s="141"/>
      <c r="G2" s="141"/>
    </row>
    <row r="3" spans="1:9" ht="16.5" customHeight="1" x14ac:dyDescent="0.2">
      <c r="A3" s="143" t="s">
        <v>1</v>
      </c>
      <c r="B3" s="143"/>
      <c r="C3" s="143"/>
      <c r="D3" s="143"/>
      <c r="E3" s="143"/>
      <c r="F3" s="143"/>
      <c r="G3" s="143"/>
    </row>
    <row r="4" spans="1:9" ht="16.5" customHeight="1" x14ac:dyDescent="0.2">
      <c r="A4" s="143" t="s">
        <v>2</v>
      </c>
      <c r="B4" s="143"/>
      <c r="C4" s="143"/>
      <c r="D4" s="143"/>
      <c r="E4" s="143"/>
      <c r="F4" s="143"/>
      <c r="G4" s="143"/>
    </row>
    <row r="5" spans="1:9" ht="16.5" customHeight="1" x14ac:dyDescent="0.2">
      <c r="A5" s="141" t="s">
        <v>3</v>
      </c>
      <c r="B5" s="141"/>
      <c r="C5" s="141"/>
      <c r="D5" s="141"/>
      <c r="E5" s="141"/>
      <c r="F5" s="141"/>
      <c r="G5" s="141"/>
    </row>
    <row r="6" spans="1:9" ht="16.5" customHeight="1" x14ac:dyDescent="0.2">
      <c r="A6" s="141">
        <v>2019</v>
      </c>
      <c r="B6" s="141"/>
      <c r="C6" s="141"/>
      <c r="D6" s="141"/>
      <c r="E6" s="141"/>
      <c r="F6" s="141"/>
      <c r="G6" s="141"/>
    </row>
    <row r="7" spans="1:9" ht="16.5" customHeight="1" thickBot="1" x14ac:dyDescent="0.25">
      <c r="A7" s="37" t="s">
        <v>4</v>
      </c>
      <c r="B7" s="67"/>
      <c r="D7" s="37"/>
      <c r="E7" s="37"/>
      <c r="F7" s="67"/>
      <c r="G7" s="68" t="s">
        <v>5</v>
      </c>
    </row>
    <row r="8" spans="1:9" s="35" customFormat="1" ht="18" customHeight="1" x14ac:dyDescent="0.25">
      <c r="A8" s="38" t="s">
        <v>6</v>
      </c>
      <c r="B8" s="133" t="s">
        <v>7</v>
      </c>
      <c r="C8" s="87" t="s">
        <v>8</v>
      </c>
      <c r="D8" s="137">
        <v>2019</v>
      </c>
      <c r="E8" s="137">
        <v>2020</v>
      </c>
      <c r="F8" s="137">
        <v>2021</v>
      </c>
      <c r="G8" s="139" t="s">
        <v>9</v>
      </c>
    </row>
    <row r="9" spans="1:9" s="35" customFormat="1" ht="20.25" customHeight="1" thickBot="1" x14ac:dyDescent="0.3">
      <c r="A9" s="86" t="s">
        <v>10</v>
      </c>
      <c r="B9" s="134"/>
      <c r="C9" s="88" t="s">
        <v>11</v>
      </c>
      <c r="D9" s="138"/>
      <c r="E9" s="138"/>
      <c r="F9" s="138"/>
      <c r="G9" s="140"/>
    </row>
    <row r="10" spans="1:9" s="35" customFormat="1" ht="16.5" customHeight="1" x14ac:dyDescent="0.25">
      <c r="A10" s="123" t="s">
        <v>12</v>
      </c>
      <c r="B10" s="7" t="s">
        <v>13</v>
      </c>
      <c r="C10" s="8" t="s">
        <v>14</v>
      </c>
      <c r="D10" s="57">
        <v>6723.7248790135081</v>
      </c>
      <c r="E10" s="57">
        <v>7009.4831863715817</v>
      </c>
      <c r="F10" s="57">
        <v>7289.8625138264451</v>
      </c>
      <c r="G10" s="114" t="s">
        <v>15</v>
      </c>
      <c r="H10" s="36"/>
      <c r="I10" s="36"/>
    </row>
    <row r="11" spans="1:9" s="35" customFormat="1" ht="16.5" customHeight="1" x14ac:dyDescent="0.25">
      <c r="A11" s="124"/>
      <c r="B11" s="7" t="s">
        <v>16</v>
      </c>
      <c r="C11" s="9" t="s">
        <v>17</v>
      </c>
      <c r="D11" s="57">
        <v>12.626576403444</v>
      </c>
      <c r="E11" s="57">
        <v>13.16320590059037</v>
      </c>
      <c r="F11" s="57">
        <v>13.689734136613986</v>
      </c>
      <c r="G11" s="115"/>
      <c r="H11" s="36"/>
      <c r="I11" s="36"/>
    </row>
    <row r="12" spans="1:9" s="35" customFormat="1" ht="16.5" customHeight="1" x14ac:dyDescent="0.25">
      <c r="A12" s="124"/>
      <c r="B12" s="7" t="s">
        <v>16</v>
      </c>
      <c r="C12" s="9" t="s">
        <v>18</v>
      </c>
      <c r="D12" s="57">
        <v>175.609720702944</v>
      </c>
      <c r="E12" s="57">
        <v>183.07313383281911</v>
      </c>
      <c r="F12" s="57">
        <v>190.39605918613188</v>
      </c>
      <c r="G12" s="115"/>
      <c r="H12" s="36"/>
      <c r="I12" s="36"/>
    </row>
    <row r="13" spans="1:9" ht="16.5" customHeight="1" x14ac:dyDescent="0.2">
      <c r="A13" s="124"/>
      <c r="B13" s="7" t="s">
        <v>16</v>
      </c>
      <c r="C13" s="9" t="s">
        <v>19</v>
      </c>
      <c r="D13" s="57">
        <v>1006.583566996038</v>
      </c>
      <c r="E13" s="57">
        <v>1049.3633685933696</v>
      </c>
      <c r="F13" s="57">
        <v>1091.3379033371045</v>
      </c>
      <c r="G13" s="115"/>
      <c r="H13" s="36"/>
      <c r="I13" s="36"/>
    </row>
    <row r="14" spans="1:9" ht="16.5" customHeight="1" x14ac:dyDescent="0.2">
      <c r="A14" s="124"/>
      <c r="B14" s="7" t="s">
        <v>16</v>
      </c>
      <c r="C14" s="9" t="s">
        <v>20</v>
      </c>
      <c r="D14" s="57">
        <v>2296.1282690488679</v>
      </c>
      <c r="E14" s="57">
        <v>2393.7137204834448</v>
      </c>
      <c r="F14" s="57">
        <v>2489.4622693027827</v>
      </c>
      <c r="G14" s="115"/>
      <c r="H14" s="36"/>
      <c r="I14" s="36"/>
    </row>
    <row r="15" spans="1:9" ht="16.5" customHeight="1" x14ac:dyDescent="0.2">
      <c r="A15" s="124"/>
      <c r="B15" s="7" t="s">
        <v>16</v>
      </c>
      <c r="C15" s="9" t="s">
        <v>21</v>
      </c>
      <c r="D15" s="57">
        <v>22.216180239071999</v>
      </c>
      <c r="E15" s="57">
        <v>23.160367899232558</v>
      </c>
      <c r="F15" s="57">
        <v>24.086782615201862</v>
      </c>
      <c r="G15" s="115"/>
      <c r="H15" s="36"/>
      <c r="I15" s="36"/>
    </row>
    <row r="16" spans="1:9" ht="16.5" customHeight="1" x14ac:dyDescent="0.2">
      <c r="A16" s="124"/>
      <c r="B16" s="7" t="s">
        <v>16</v>
      </c>
      <c r="C16" s="9" t="s">
        <v>22</v>
      </c>
      <c r="D16" s="57">
        <v>63.913000032366</v>
      </c>
      <c r="E16" s="57">
        <v>66.629302533741551</v>
      </c>
      <c r="F16" s="57">
        <v>69.29447463509122</v>
      </c>
      <c r="G16" s="115"/>
      <c r="H16" s="36"/>
      <c r="I16" s="36"/>
    </row>
    <row r="17" spans="1:9" ht="16.5" customHeight="1" x14ac:dyDescent="0.2">
      <c r="A17" s="124"/>
      <c r="B17" s="7" t="s">
        <v>23</v>
      </c>
      <c r="C17" s="9" t="s">
        <v>24</v>
      </c>
      <c r="D17" s="57">
        <v>112.04479953660601</v>
      </c>
      <c r="E17" s="57">
        <v>116.80670351691177</v>
      </c>
      <c r="F17" s="57">
        <v>121.47897165758825</v>
      </c>
      <c r="G17" s="115"/>
      <c r="H17" s="36"/>
      <c r="I17" s="36"/>
    </row>
    <row r="18" spans="1:9" ht="16.5" customHeight="1" x14ac:dyDescent="0.2">
      <c r="A18" s="124"/>
      <c r="B18" s="7" t="s">
        <v>13</v>
      </c>
      <c r="C18" s="9" t="s">
        <v>25</v>
      </c>
      <c r="D18" s="57">
        <v>7841.8529999999992</v>
      </c>
      <c r="E18" s="57">
        <v>8175.1317524999986</v>
      </c>
      <c r="F18" s="57">
        <v>8502.1370225999981</v>
      </c>
      <c r="G18" s="115"/>
      <c r="H18" s="36"/>
      <c r="I18" s="36"/>
    </row>
    <row r="19" spans="1:9" ht="16.5" customHeight="1" x14ac:dyDescent="0.2">
      <c r="A19" s="124"/>
      <c r="B19" s="7" t="s">
        <v>16</v>
      </c>
      <c r="C19" s="9" t="s">
        <v>26</v>
      </c>
      <c r="D19" s="57">
        <v>5567.5734349797603</v>
      </c>
      <c r="E19" s="57">
        <v>5804.1953059664002</v>
      </c>
      <c r="F19" s="57">
        <v>6036.3631182050567</v>
      </c>
      <c r="G19" s="115"/>
      <c r="H19" s="36"/>
      <c r="I19" s="36"/>
    </row>
    <row r="20" spans="1:9" ht="16.5" customHeight="1" x14ac:dyDescent="0.2">
      <c r="A20" s="124"/>
      <c r="B20" s="7" t="s">
        <v>13</v>
      </c>
      <c r="C20" s="9" t="s">
        <v>27</v>
      </c>
      <c r="D20" s="57">
        <v>5288</v>
      </c>
      <c r="E20" s="57">
        <v>3684.1950000000002</v>
      </c>
      <c r="F20" s="57">
        <v>3831.5628000000002</v>
      </c>
      <c r="G20" s="115"/>
      <c r="H20" s="36"/>
      <c r="I20" s="36"/>
    </row>
    <row r="21" spans="1:9" ht="16.5" customHeight="1" x14ac:dyDescent="0.2">
      <c r="A21" s="124"/>
      <c r="B21" s="7" t="s">
        <v>16</v>
      </c>
      <c r="C21" s="9" t="s">
        <v>28</v>
      </c>
      <c r="D21" s="57">
        <v>43.725358099440001</v>
      </c>
      <c r="E21" s="57">
        <v>45.583685818666197</v>
      </c>
      <c r="F21" s="57">
        <v>47.407033251412848</v>
      </c>
      <c r="G21" s="115"/>
      <c r="H21" s="36"/>
      <c r="I21" s="36"/>
    </row>
    <row r="22" spans="1:9" ht="16.5" customHeight="1" x14ac:dyDescent="0.2">
      <c r="A22" s="124"/>
      <c r="B22" s="7" t="s">
        <v>16</v>
      </c>
      <c r="C22" s="10" t="s">
        <v>56</v>
      </c>
      <c r="D22" s="57">
        <v>8692</v>
      </c>
      <c r="E22" s="57">
        <v>9061.41</v>
      </c>
      <c r="F22" s="57">
        <v>9423.8664000000008</v>
      </c>
      <c r="G22" s="115"/>
      <c r="H22" s="36"/>
      <c r="I22" s="36"/>
    </row>
    <row r="23" spans="1:9" ht="16.5" customHeight="1" x14ac:dyDescent="0.2">
      <c r="A23" s="124"/>
      <c r="B23" s="7" t="s">
        <v>29</v>
      </c>
      <c r="C23" s="10" t="s">
        <v>30</v>
      </c>
      <c r="D23" s="57">
        <v>5159</v>
      </c>
      <c r="E23" s="57">
        <v>5378.2574999999997</v>
      </c>
      <c r="F23" s="57">
        <v>5593.3877999999995</v>
      </c>
      <c r="G23" s="115"/>
      <c r="H23" s="36"/>
      <c r="I23" s="36"/>
    </row>
    <row r="24" spans="1:9" ht="16.5" customHeight="1" x14ac:dyDescent="0.2">
      <c r="A24" s="124"/>
      <c r="B24" s="7" t="s">
        <v>13</v>
      </c>
      <c r="C24" s="10" t="s">
        <v>31</v>
      </c>
      <c r="D24" s="57">
        <v>8052</v>
      </c>
      <c r="E24" s="57">
        <v>8394.2099999999991</v>
      </c>
      <c r="F24" s="57">
        <v>8729.9784</v>
      </c>
      <c r="G24" s="115"/>
      <c r="H24" s="36"/>
      <c r="I24" s="36"/>
    </row>
    <row r="25" spans="1:9" ht="16.5" customHeight="1" x14ac:dyDescent="0.2">
      <c r="A25" s="124"/>
      <c r="B25" s="7" t="s">
        <v>29</v>
      </c>
      <c r="C25" s="10" t="s">
        <v>32</v>
      </c>
      <c r="D25" s="57">
        <v>4351</v>
      </c>
      <c r="E25" s="57">
        <v>4535.9174999999996</v>
      </c>
      <c r="F25" s="57">
        <v>4717.3541999999998</v>
      </c>
      <c r="G25" s="115"/>
      <c r="H25" s="36"/>
      <c r="I25" s="36"/>
    </row>
    <row r="26" spans="1:9" ht="16.5" customHeight="1" x14ac:dyDescent="0.2">
      <c r="A26" s="124"/>
      <c r="B26" s="7" t="s">
        <v>16</v>
      </c>
      <c r="C26" s="9" t="s">
        <v>33</v>
      </c>
      <c r="D26" s="57">
        <v>411.88139425968001</v>
      </c>
      <c r="E26" s="57">
        <v>429.38635351571639</v>
      </c>
      <c r="F26" s="57">
        <v>446.56180765634508</v>
      </c>
      <c r="G26" s="115"/>
      <c r="H26" s="36"/>
      <c r="I26" s="36"/>
    </row>
    <row r="27" spans="1:9" ht="16.5" customHeight="1" x14ac:dyDescent="0.2">
      <c r="A27" s="124"/>
      <c r="B27" s="7" t="s">
        <v>29</v>
      </c>
      <c r="C27" s="66" t="s">
        <v>34</v>
      </c>
      <c r="D27" s="57">
        <v>6454</v>
      </c>
      <c r="E27" s="57">
        <v>6728.2950000000001</v>
      </c>
      <c r="F27" s="57">
        <v>6997.4268000000002</v>
      </c>
      <c r="G27" s="115"/>
      <c r="H27" s="36"/>
      <c r="I27" s="36"/>
    </row>
    <row r="28" spans="1:9" ht="16.5" customHeight="1" x14ac:dyDescent="0.2">
      <c r="A28" s="124"/>
      <c r="B28" s="7" t="s">
        <v>29</v>
      </c>
      <c r="C28" s="10" t="s">
        <v>35</v>
      </c>
      <c r="D28" s="57">
        <f>2540-SUM(D45,D46,D55,D56)/2-155</f>
        <v>2100.1079136690646</v>
      </c>
      <c r="E28" s="57">
        <f>2647.95-SUM(E45,E46,E55,E56)/2-162</f>
        <v>2188.9499999999998</v>
      </c>
      <c r="F28" s="57">
        <f>2753.868-SUM(F45,F46,F55,F56)/2-168</f>
        <v>2276.9879999999998</v>
      </c>
      <c r="G28" s="115"/>
      <c r="H28" s="36"/>
      <c r="I28" s="36"/>
    </row>
    <row r="29" spans="1:9" ht="16.5" customHeight="1" thickBot="1" x14ac:dyDescent="0.25">
      <c r="A29" s="125"/>
      <c r="B29" s="7" t="s">
        <v>86</v>
      </c>
      <c r="C29" s="10" t="s">
        <v>87</v>
      </c>
      <c r="D29" s="57">
        <f>2194.5-SUM(D45,D46,D55,D56)/2</f>
        <v>1909.6079136690646</v>
      </c>
      <c r="E29" s="57">
        <f>2287.76625-SUM(E45,E46,E55,E56)/2</f>
        <v>1990.7662500000001</v>
      </c>
      <c r="F29" s="57">
        <f>2379.2769-SUM(F45,F46,F55,F56)/2</f>
        <v>2070.3968999999997</v>
      </c>
      <c r="G29" s="116"/>
      <c r="H29" s="36"/>
      <c r="I29" s="36"/>
    </row>
    <row r="30" spans="1:9" ht="16.5" customHeight="1" x14ac:dyDescent="0.2">
      <c r="A30" s="102" t="s">
        <v>36</v>
      </c>
      <c r="B30" s="12" t="s">
        <v>16</v>
      </c>
      <c r="C30" s="8" t="s">
        <v>37</v>
      </c>
      <c r="D30" s="59">
        <v>24.61086467829</v>
      </c>
      <c r="E30" s="59">
        <v>25.656826427117323</v>
      </c>
      <c r="F30" s="59">
        <v>26.683099484202017</v>
      </c>
      <c r="G30" s="114" t="s">
        <v>15</v>
      </c>
      <c r="H30" s="36"/>
      <c r="I30" s="36"/>
    </row>
    <row r="31" spans="1:9" ht="16.5" customHeight="1" x14ac:dyDescent="0.2">
      <c r="A31" s="103"/>
      <c r="B31" s="11" t="s">
        <v>38</v>
      </c>
      <c r="C31" s="10" t="s">
        <v>39</v>
      </c>
      <c r="D31" s="57">
        <v>1554.98334</v>
      </c>
      <c r="E31" s="57">
        <v>1621.0701319499999</v>
      </c>
      <c r="F31" s="57">
        <v>1685.9129372279999</v>
      </c>
      <c r="G31" s="115"/>
      <c r="H31" s="36"/>
      <c r="I31" s="36"/>
    </row>
    <row r="32" spans="1:9" ht="16.5" customHeight="1" x14ac:dyDescent="0.2">
      <c r="A32" s="103"/>
      <c r="B32" s="11" t="s">
        <v>40</v>
      </c>
      <c r="C32" s="10" t="s">
        <v>56</v>
      </c>
      <c r="D32" s="57">
        <v>6454.2</v>
      </c>
      <c r="E32" s="57">
        <v>6728.5034999999998</v>
      </c>
      <c r="F32" s="57">
        <v>6997.6436400000002</v>
      </c>
      <c r="G32" s="115"/>
      <c r="H32" s="36"/>
      <c r="I32" s="36"/>
    </row>
    <row r="33" spans="1:9" ht="16.5" customHeight="1" x14ac:dyDescent="0.2">
      <c r="A33" s="103"/>
      <c r="B33" s="7" t="s">
        <v>40</v>
      </c>
      <c r="C33" s="10" t="s">
        <v>71</v>
      </c>
      <c r="D33" s="57">
        <v>2071.80030207048</v>
      </c>
      <c r="E33" s="57">
        <v>2159.8518149084753</v>
      </c>
      <c r="F33" s="57">
        <v>2246.2458875048142</v>
      </c>
      <c r="G33" s="115"/>
      <c r="H33" s="36"/>
      <c r="I33" s="36"/>
    </row>
    <row r="34" spans="1:9" ht="16.5" customHeight="1" x14ac:dyDescent="0.2">
      <c r="A34" s="103"/>
      <c r="B34" s="7" t="s">
        <v>23</v>
      </c>
      <c r="C34" s="10" t="s">
        <v>34</v>
      </c>
      <c r="D34" s="57">
        <v>3228</v>
      </c>
      <c r="E34" s="57">
        <v>3365.19</v>
      </c>
      <c r="F34" s="57">
        <v>3499.7976000000003</v>
      </c>
      <c r="G34" s="115"/>
      <c r="H34" s="36"/>
      <c r="I34" s="36"/>
    </row>
    <row r="35" spans="1:9" ht="16.5" customHeight="1" thickBot="1" x14ac:dyDescent="0.25">
      <c r="A35" s="111"/>
      <c r="B35" s="72" t="s">
        <v>40</v>
      </c>
      <c r="C35" s="73" t="s">
        <v>95</v>
      </c>
      <c r="D35" s="91">
        <v>155</v>
      </c>
      <c r="E35" s="91">
        <f>D35*1.0425</f>
        <v>161.58750000000001</v>
      </c>
      <c r="F35" s="91">
        <f>E35*1.04</f>
        <v>168.05100000000002</v>
      </c>
      <c r="G35" s="116"/>
      <c r="H35" s="36"/>
      <c r="I35" s="36"/>
    </row>
    <row r="36" spans="1:9" ht="16.5" customHeight="1" x14ac:dyDescent="0.2">
      <c r="A36" s="145" t="s">
        <v>41</v>
      </c>
      <c r="B36" s="13" t="s">
        <v>13</v>
      </c>
      <c r="C36" s="14" t="s">
        <v>42</v>
      </c>
      <c r="D36" s="61">
        <v>182</v>
      </c>
      <c r="E36" s="61">
        <v>188.6925</v>
      </c>
      <c r="F36" s="61">
        <v>196.24020000000002</v>
      </c>
      <c r="G36" s="114" t="s">
        <v>15</v>
      </c>
      <c r="H36" s="36"/>
      <c r="I36" s="36"/>
    </row>
    <row r="37" spans="1:9" ht="16.5" customHeight="1" x14ac:dyDescent="0.2">
      <c r="A37" s="110"/>
      <c r="B37" s="7" t="s">
        <v>16</v>
      </c>
      <c r="C37" s="9" t="s">
        <v>43</v>
      </c>
      <c r="D37" s="57">
        <v>740.71937100959997</v>
      </c>
      <c r="E37" s="57">
        <v>772.19994427750794</v>
      </c>
      <c r="F37" s="57">
        <v>803.08794204860828</v>
      </c>
      <c r="G37" s="115"/>
      <c r="H37" s="36"/>
      <c r="I37" s="36"/>
    </row>
    <row r="38" spans="1:9" ht="16.5" customHeight="1" x14ac:dyDescent="0.2">
      <c r="A38" s="110"/>
      <c r="B38" s="7" t="s">
        <v>16</v>
      </c>
      <c r="C38" s="9" t="s">
        <v>28</v>
      </c>
      <c r="D38" s="57">
        <v>6.6932473284</v>
      </c>
      <c r="E38" s="57">
        <v>6.9777103398569995</v>
      </c>
      <c r="F38" s="57">
        <v>7.25681875345128</v>
      </c>
      <c r="G38" s="115"/>
      <c r="H38" s="36"/>
      <c r="I38" s="36"/>
    </row>
    <row r="39" spans="1:9" ht="16.5" customHeight="1" x14ac:dyDescent="0.2">
      <c r="A39" s="110"/>
      <c r="B39" s="7" t="s">
        <v>13</v>
      </c>
      <c r="C39" s="10" t="s">
        <v>44</v>
      </c>
      <c r="D39" s="57">
        <v>121</v>
      </c>
      <c r="E39" s="57">
        <v>121.9725</v>
      </c>
      <c r="F39" s="57">
        <v>126.8514</v>
      </c>
      <c r="G39" s="115"/>
      <c r="H39" s="36"/>
      <c r="I39" s="36"/>
    </row>
    <row r="40" spans="1:9" ht="16.5" customHeight="1" x14ac:dyDescent="0.2">
      <c r="A40" s="110"/>
      <c r="B40" s="7" t="s">
        <v>16</v>
      </c>
      <c r="C40" s="10" t="s">
        <v>45</v>
      </c>
      <c r="D40" s="57">
        <v>26.7729893136</v>
      </c>
      <c r="E40" s="57">
        <v>27.910841359427998</v>
      </c>
      <c r="F40" s="57">
        <v>29.02727501380512</v>
      </c>
      <c r="G40" s="115"/>
      <c r="H40" s="36"/>
      <c r="I40" s="36"/>
    </row>
    <row r="41" spans="1:9" ht="16.5" customHeight="1" x14ac:dyDescent="0.2">
      <c r="A41" s="110"/>
      <c r="B41" s="7" t="s">
        <v>16</v>
      </c>
      <c r="C41" s="10" t="s">
        <v>33</v>
      </c>
      <c r="D41" s="57">
        <v>47.968272520200003</v>
      </c>
      <c r="E41" s="57">
        <v>50.006924102308503</v>
      </c>
      <c r="F41" s="57">
        <v>52.007201066400846</v>
      </c>
      <c r="G41" s="115"/>
      <c r="H41" s="36"/>
      <c r="I41" s="36"/>
    </row>
    <row r="42" spans="1:9" ht="16.5" customHeight="1" x14ac:dyDescent="0.2">
      <c r="A42" s="110"/>
      <c r="B42" s="7" t="s">
        <v>16</v>
      </c>
      <c r="C42" s="10" t="s">
        <v>46</v>
      </c>
      <c r="D42" s="57">
        <v>488.60705497320004</v>
      </c>
      <c r="E42" s="57">
        <v>509.37285480956103</v>
      </c>
      <c r="F42" s="57">
        <v>529.74776900194354</v>
      </c>
      <c r="G42" s="115"/>
      <c r="H42" s="36"/>
      <c r="I42" s="36"/>
    </row>
    <row r="43" spans="1:9" ht="16.5" customHeight="1" x14ac:dyDescent="0.2">
      <c r="A43" s="110"/>
      <c r="B43" s="11" t="s">
        <v>16</v>
      </c>
      <c r="C43" s="150" t="s">
        <v>47</v>
      </c>
      <c r="D43" s="57">
        <v>118.2473694684</v>
      </c>
      <c r="E43" s="57">
        <v>123.27288267080699</v>
      </c>
      <c r="F43" s="57">
        <v>128.20379797763928</v>
      </c>
      <c r="G43" s="115"/>
      <c r="H43" s="36"/>
      <c r="I43" s="36"/>
    </row>
    <row r="44" spans="1:9" ht="16.5" customHeight="1" x14ac:dyDescent="0.2">
      <c r="A44" s="110"/>
      <c r="B44" s="11" t="s">
        <v>23</v>
      </c>
      <c r="C44" s="9" t="s">
        <v>34</v>
      </c>
      <c r="D44" s="57">
        <v>40.47138533949235</v>
      </c>
      <c r="E44" s="57">
        <v>42.191419216420776</v>
      </c>
      <c r="F44" s="57">
        <v>43.879075985077606</v>
      </c>
      <c r="G44" s="115"/>
      <c r="H44" s="36"/>
      <c r="I44" s="36"/>
    </row>
    <row r="45" spans="1:9" ht="16.5" customHeight="1" x14ac:dyDescent="0.2">
      <c r="A45" s="110"/>
      <c r="B45" s="7" t="s">
        <v>13</v>
      </c>
      <c r="C45" s="14" t="s">
        <v>94</v>
      </c>
      <c r="D45" s="57">
        <f>E45/(1+4.25%)</f>
        <v>79.616306954436453</v>
      </c>
      <c r="E45" s="57">
        <v>83</v>
      </c>
      <c r="F45" s="57">
        <f>E45*(1+4%)</f>
        <v>86.320000000000007</v>
      </c>
      <c r="G45" s="115"/>
      <c r="H45" s="36"/>
      <c r="I45" s="36"/>
    </row>
    <row r="46" spans="1:9" ht="16.5" customHeight="1" thickBot="1" x14ac:dyDescent="0.25">
      <c r="A46" s="146"/>
      <c r="B46" s="7" t="s">
        <v>13</v>
      </c>
      <c r="C46" s="66" t="s">
        <v>95</v>
      </c>
      <c r="D46" s="57">
        <f>E46/(1+4.25%)</f>
        <v>285.85131894484414</v>
      </c>
      <c r="E46" s="75">
        <v>298</v>
      </c>
      <c r="F46" s="57">
        <f>E46*(1+4%)</f>
        <v>309.92</v>
      </c>
      <c r="G46" s="116"/>
      <c r="H46" s="36"/>
      <c r="I46" s="36"/>
    </row>
    <row r="47" spans="1:9" ht="18.75" customHeight="1" x14ac:dyDescent="0.2">
      <c r="A47" s="102" t="s">
        <v>48</v>
      </c>
      <c r="B47" s="12" t="s">
        <v>16</v>
      </c>
      <c r="C47" s="8" t="s">
        <v>37</v>
      </c>
      <c r="D47" s="59">
        <v>16.655999999999999</v>
      </c>
      <c r="E47" s="59">
        <v>17.363879999999998</v>
      </c>
      <c r="F47" s="59">
        <v>18.058435199999998</v>
      </c>
      <c r="G47" s="126" t="s">
        <v>15</v>
      </c>
      <c r="H47" s="36"/>
      <c r="I47" s="36"/>
    </row>
    <row r="48" spans="1:9" ht="18.75" customHeight="1" x14ac:dyDescent="0.2">
      <c r="A48" s="103"/>
      <c r="B48" s="7" t="s">
        <v>13</v>
      </c>
      <c r="C48" s="9" t="s">
        <v>31</v>
      </c>
      <c r="D48" s="57">
        <v>5.2050000000000001</v>
      </c>
      <c r="E48" s="57">
        <v>5.4262125000000001</v>
      </c>
      <c r="F48" s="57">
        <v>5.6432609999999999</v>
      </c>
      <c r="G48" s="127"/>
      <c r="H48" s="36"/>
      <c r="I48" s="36"/>
    </row>
    <row r="49" spans="1:9" ht="18.75" customHeight="1" thickBot="1" x14ac:dyDescent="0.25">
      <c r="A49" s="103"/>
      <c r="B49" s="72" t="s">
        <v>23</v>
      </c>
      <c r="C49" s="66" t="s">
        <v>34</v>
      </c>
      <c r="D49" s="75">
        <v>40.47138533949235</v>
      </c>
      <c r="E49" s="75">
        <v>42.191419216420776</v>
      </c>
      <c r="F49" s="75">
        <v>43.879075985077606</v>
      </c>
      <c r="G49" s="127"/>
      <c r="H49" s="36"/>
      <c r="I49" s="36"/>
    </row>
    <row r="50" spans="1:9" ht="16.5" customHeight="1" x14ac:dyDescent="0.2">
      <c r="A50" s="106" t="s">
        <v>49</v>
      </c>
      <c r="B50" s="13" t="s">
        <v>29</v>
      </c>
      <c r="C50" s="76" t="s">
        <v>50</v>
      </c>
      <c r="D50" s="59">
        <v>6560.3819999999996</v>
      </c>
      <c r="E50" s="59">
        <v>6839.1982349999998</v>
      </c>
      <c r="F50" s="59">
        <v>7112.7661644</v>
      </c>
      <c r="G50" s="126" t="s">
        <v>15</v>
      </c>
      <c r="H50" s="36"/>
      <c r="I50" s="36"/>
    </row>
    <row r="51" spans="1:9" ht="16.5" customHeight="1" x14ac:dyDescent="0.2">
      <c r="A51" s="107"/>
      <c r="B51" s="7" t="s">
        <v>51</v>
      </c>
      <c r="C51" s="10" t="s">
        <v>56</v>
      </c>
      <c r="D51" s="57">
        <v>6838.3289999999997</v>
      </c>
      <c r="E51" s="57">
        <v>7128.9579824999992</v>
      </c>
      <c r="F51" s="57">
        <v>7414.1163017999997</v>
      </c>
      <c r="G51" s="127"/>
      <c r="H51" s="36"/>
      <c r="I51" s="36"/>
    </row>
    <row r="52" spans="1:9" ht="16.5" customHeight="1" x14ac:dyDescent="0.2">
      <c r="A52" s="107"/>
      <c r="B52" s="11" t="s">
        <v>40</v>
      </c>
      <c r="C52" s="9" t="s">
        <v>47</v>
      </c>
      <c r="D52" s="57">
        <v>82.550050383600009</v>
      </c>
      <c r="E52" s="57">
        <v>86.05842752490301</v>
      </c>
      <c r="F52" s="57">
        <v>89.500764625899137</v>
      </c>
      <c r="G52" s="127"/>
      <c r="H52" s="36"/>
      <c r="I52" s="36"/>
    </row>
    <row r="53" spans="1:9" ht="16.5" customHeight="1" thickBot="1" x14ac:dyDescent="0.25">
      <c r="A53" s="108"/>
      <c r="B53" s="72" t="s">
        <v>23</v>
      </c>
      <c r="C53" s="77" t="s">
        <v>34</v>
      </c>
      <c r="D53" s="74">
        <v>351.2237007434266</v>
      </c>
      <c r="E53" s="74">
        <v>366.15070802502225</v>
      </c>
      <c r="F53" s="74">
        <v>380.79673634602318</v>
      </c>
      <c r="G53" s="128"/>
      <c r="H53" s="36"/>
      <c r="I53" s="36"/>
    </row>
    <row r="54" spans="1:9" ht="14.25" x14ac:dyDescent="0.2">
      <c r="A54" s="147" t="s">
        <v>96</v>
      </c>
      <c r="B54" s="12" t="s">
        <v>23</v>
      </c>
      <c r="C54" s="8" t="s">
        <v>34</v>
      </c>
      <c r="D54" s="59">
        <v>1120.7460555551729</v>
      </c>
      <c r="E54" s="59">
        <v>1168.3777629162678</v>
      </c>
      <c r="F54" s="59">
        <v>1215.1128734329186</v>
      </c>
      <c r="G54" s="114" t="s">
        <v>15</v>
      </c>
      <c r="H54" s="36"/>
      <c r="I54" s="36"/>
    </row>
    <row r="55" spans="1:9" ht="15" customHeight="1" x14ac:dyDescent="0.2">
      <c r="A55" s="148"/>
      <c r="B55" s="7" t="s">
        <v>13</v>
      </c>
      <c r="C55" s="9" t="s">
        <v>94</v>
      </c>
      <c r="D55" s="57">
        <f>E55/(1+4.25%)</f>
        <v>113.18944844124701</v>
      </c>
      <c r="E55" s="57">
        <v>118</v>
      </c>
      <c r="F55" s="57">
        <f>E55*(1+4%)</f>
        <v>122.72</v>
      </c>
      <c r="G55" s="115"/>
      <c r="H55" s="36"/>
      <c r="I55" s="36"/>
    </row>
    <row r="56" spans="1:9" ht="15.75" customHeight="1" thickBot="1" x14ac:dyDescent="0.25">
      <c r="A56" s="149"/>
      <c r="B56" s="7" t="s">
        <v>13</v>
      </c>
      <c r="C56" s="66" t="s">
        <v>95</v>
      </c>
      <c r="D56" s="57">
        <f>E56/(1+4.25%)</f>
        <v>91.127098321342928</v>
      </c>
      <c r="E56" s="75">
        <v>95</v>
      </c>
      <c r="F56" s="57">
        <f>E56*(1+4%)</f>
        <v>98.8</v>
      </c>
      <c r="G56" s="116"/>
      <c r="H56" s="36"/>
      <c r="I56" s="36"/>
    </row>
    <row r="57" spans="1:9" ht="16.5" customHeight="1" thickBot="1" x14ac:dyDescent="0.3">
      <c r="A57" s="129" t="s">
        <v>53</v>
      </c>
      <c r="B57" s="130"/>
      <c r="C57" s="131"/>
      <c r="D57" s="78">
        <f>SUM(D10:D56)</f>
        <v>97130.017568035095</v>
      </c>
      <c r="E57" s="78">
        <f>SUM(E10:E56)</f>
        <v>99423.873314676559</v>
      </c>
      <c r="F57" s="78">
        <f>SUM(F10:F56)</f>
        <v>103401.30824726365</v>
      </c>
      <c r="G57" s="79"/>
      <c r="H57" s="36"/>
    </row>
    <row r="58" spans="1:9" ht="16.5" customHeight="1" x14ac:dyDescent="0.25">
      <c r="A58" s="41"/>
      <c r="B58" s="41"/>
      <c r="C58" s="41"/>
      <c r="D58" s="80"/>
      <c r="E58" s="80"/>
      <c r="F58" s="80"/>
      <c r="G58" s="81"/>
    </row>
    <row r="59" spans="1:9" ht="16.5" customHeight="1" x14ac:dyDescent="0.2">
      <c r="A59" s="21" t="s">
        <v>54</v>
      </c>
      <c r="B59" s="81"/>
      <c r="C59" s="81"/>
      <c r="D59" s="90"/>
      <c r="E59" s="90"/>
      <c r="F59" s="90"/>
      <c r="G59" s="81"/>
    </row>
    <row r="60" spans="1:9" ht="16.5" customHeight="1" x14ac:dyDescent="0.2">
      <c r="A60" s="21" t="s">
        <v>55</v>
      </c>
      <c r="B60" s="81"/>
      <c r="C60" s="22"/>
      <c r="D60" s="81"/>
      <c r="E60" s="83"/>
      <c r="F60" s="83"/>
      <c r="G60" s="83"/>
    </row>
    <row r="61" spans="1:9" ht="16.5" customHeight="1" x14ac:dyDescent="0.2">
      <c r="B61" s="81"/>
      <c r="C61" s="81"/>
      <c r="D61" s="81"/>
      <c r="E61" s="83"/>
      <c r="F61" s="83"/>
      <c r="G61" s="83"/>
    </row>
    <row r="62" spans="1:9" ht="16.5" customHeight="1" x14ac:dyDescent="0.2">
      <c r="A62" s="48"/>
      <c r="D62" s="84"/>
      <c r="E62" s="84"/>
      <c r="F62" s="84"/>
    </row>
    <row r="63" spans="1:9" ht="16.5" customHeight="1" x14ac:dyDescent="0.2">
      <c r="A63" s="35"/>
    </row>
    <row r="64" spans="1:9" ht="16.5" customHeight="1" x14ac:dyDescent="0.2">
      <c r="A64" s="35"/>
    </row>
    <row r="65" spans="1:6" ht="16.5" customHeight="1" x14ac:dyDescent="0.2">
      <c r="A65" s="35"/>
    </row>
    <row r="66" spans="1:6" ht="16.5" customHeight="1" x14ac:dyDescent="0.2">
      <c r="A66" s="35"/>
    </row>
    <row r="67" spans="1:6" ht="16.5" customHeight="1" x14ac:dyDescent="0.2">
      <c r="A67" s="35"/>
    </row>
    <row r="68" spans="1:6" ht="16.5" customHeight="1" x14ac:dyDescent="0.2">
      <c r="A68" s="35"/>
    </row>
    <row r="69" spans="1:6" ht="16.5" customHeight="1" x14ac:dyDescent="0.2">
      <c r="A69" s="35"/>
      <c r="D69" s="84"/>
      <c r="E69" s="84"/>
      <c r="F69" s="84"/>
    </row>
    <row r="70" spans="1:6" ht="16.5" customHeight="1" x14ac:dyDescent="0.2">
      <c r="D70" s="84"/>
      <c r="E70" s="84"/>
      <c r="F70" s="84"/>
    </row>
  </sheetData>
  <mergeCells count="24">
    <mergeCell ref="A50:A53"/>
    <mergeCell ref="G50:G53"/>
    <mergeCell ref="A57:C57"/>
    <mergeCell ref="A30:A35"/>
    <mergeCell ref="G30:G35"/>
    <mergeCell ref="A47:A49"/>
    <mergeCell ref="G47:G49"/>
    <mergeCell ref="A36:A46"/>
    <mergeCell ref="A54:A56"/>
    <mergeCell ref="G36:G46"/>
    <mergeCell ref="G54:G56"/>
    <mergeCell ref="A10:A29"/>
    <mergeCell ref="G10:G29"/>
    <mergeCell ref="A1:G1"/>
    <mergeCell ref="A2:G2"/>
    <mergeCell ref="A3:G3"/>
    <mergeCell ref="A4:G4"/>
    <mergeCell ref="A5:G5"/>
    <mergeCell ref="A6:G6"/>
    <mergeCell ref="B8:B9"/>
    <mergeCell ref="D8:D9"/>
    <mergeCell ref="E8:E9"/>
    <mergeCell ref="F8:F9"/>
    <mergeCell ref="G8:G9"/>
  </mergeCells>
  <pageMargins left="0.47" right="0.4" top="0.5" bottom="0.4" header="0.28000000000000003" footer="0.21"/>
  <pageSetup paperSize="9" scale="53" orientation="landscape" r:id="rId1"/>
  <headerFooter alignWithMargins="0"/>
  <rowBreaks count="1" manualBreakCount="1">
    <brk id="51" max="6" man="1"/>
  </rowBreaks>
  <colBreaks count="1" manualBreakCount="1">
    <brk id="2" max="6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
  <sheetViews>
    <sheetView workbookViewId="0">
      <selection activeCell="D35" sqref="D35"/>
    </sheetView>
  </sheetViews>
  <sheetFormatPr defaultRowHeight="15" x14ac:dyDescent="0.25"/>
  <cols>
    <col min="1" max="1" width="16.5703125" bestFit="1" customWidth="1"/>
    <col min="2" max="2" width="9.42578125" bestFit="1" customWidth="1"/>
    <col min="3" max="3" width="13.28515625" bestFit="1" customWidth="1"/>
    <col min="4" max="4" width="20.140625" bestFit="1" customWidth="1"/>
    <col min="5" max="5" width="20.7109375" bestFit="1" customWidth="1"/>
    <col min="6" max="7" width="13.28515625" bestFit="1" customWidth="1"/>
  </cols>
  <sheetData>
    <row r="1" spans="1:9" x14ac:dyDescent="0.25">
      <c r="A1" s="45" t="s">
        <v>59</v>
      </c>
      <c r="B1" s="45"/>
      <c r="C1" s="45">
        <v>2018</v>
      </c>
      <c r="D1" s="45" t="s">
        <v>63</v>
      </c>
      <c r="E1" s="45" t="s">
        <v>64</v>
      </c>
      <c r="F1" s="45" t="s">
        <v>65</v>
      </c>
      <c r="G1" s="53" t="s">
        <v>66</v>
      </c>
    </row>
    <row r="2" spans="1:9" x14ac:dyDescent="0.25">
      <c r="A2" t="s">
        <v>60</v>
      </c>
      <c r="B2" t="s">
        <v>61</v>
      </c>
      <c r="C2" s="43">
        <v>1860927.48</v>
      </c>
      <c r="D2" s="43">
        <v>527086.68000000005</v>
      </c>
      <c r="E2" s="43">
        <v>995761.92</v>
      </c>
      <c r="F2" s="44">
        <f>C2-D2</f>
        <v>1333840.7999999998</v>
      </c>
      <c r="G2" s="50">
        <f>C2-E2</f>
        <v>865165.55999999994</v>
      </c>
    </row>
    <row r="3" spans="1:9" x14ac:dyDescent="0.25">
      <c r="B3" t="s">
        <v>62</v>
      </c>
      <c r="C3" s="43">
        <v>3391559.76</v>
      </c>
      <c r="D3" s="43">
        <v>14286.72</v>
      </c>
      <c r="E3" s="43">
        <v>40719</v>
      </c>
      <c r="F3" s="44">
        <f>C3-D3</f>
        <v>3377273.0399999996</v>
      </c>
      <c r="G3" s="50">
        <f>C3-E3</f>
        <v>3350840.76</v>
      </c>
    </row>
    <row r="4" spans="1:9" x14ac:dyDescent="0.25">
      <c r="C4" s="46">
        <f>SUM(C2:C3)</f>
        <v>5252487.24</v>
      </c>
      <c r="E4" s="45" t="s">
        <v>67</v>
      </c>
      <c r="F4" s="46">
        <f>SUM(F2:F3)</f>
        <v>4711113.84</v>
      </c>
      <c r="G4" s="51">
        <f>SUM(G2:G3)</f>
        <v>4216006.3199999994</v>
      </c>
      <c r="H4" s="54">
        <f>F4/C4</f>
        <v>0.89693008754458192</v>
      </c>
      <c r="I4" s="54">
        <f>G4/C4</f>
        <v>0.80266855060460829</v>
      </c>
    </row>
    <row r="5" spans="1:9" x14ac:dyDescent="0.25">
      <c r="F5" s="43">
        <f>F4*(1+4.1%)</f>
        <v>4904269.5074399998</v>
      </c>
      <c r="G5" s="52">
        <f>G4*(1+4.1%)</f>
        <v>4388862.579119999</v>
      </c>
    </row>
    <row r="6" spans="1:9" x14ac:dyDescent="0.25">
      <c r="F6" s="43">
        <f>F5*(1+4.25%)</f>
        <v>5112700.9615062</v>
      </c>
      <c r="G6" s="52">
        <f>G5*(1+4.25%)</f>
        <v>4575389.2387325987</v>
      </c>
    </row>
    <row r="7" spans="1:9" x14ac:dyDescent="0.25">
      <c r="F7" s="43">
        <f>F6*(1+4%)</f>
        <v>5317208.9999664482</v>
      </c>
      <c r="G7" s="52">
        <f>G6*(1+4%)</f>
        <v>4758404.8082819032</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3</vt:i4>
      </vt:variant>
    </vt:vector>
  </HeadingPairs>
  <TitlesOfParts>
    <vt:vector size="7" baseType="lpstr">
      <vt:lpstr>Renúncia da Receita V</vt:lpstr>
      <vt:lpstr>Renúncia da Receita V (2)</vt:lpstr>
      <vt:lpstr>Renúncia da Receita (imp)</vt:lpstr>
      <vt:lpstr>estacionamento vertical</vt:lpstr>
      <vt:lpstr>'Renúncia da Receita (imp)'!Area_de_impressao</vt:lpstr>
      <vt:lpstr>'Renúncia da Receita V'!Area_de_impressao</vt:lpstr>
      <vt:lpstr>'Renúncia da Receita V (2)'!Area_de_impressao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2020-07-31T20:28:44Z</dcterms:modified>
</cp:coreProperties>
</file>