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7601\Desktop\"/>
    </mc:Choice>
  </mc:AlternateContent>
  <workbookProtection lockStructure="1"/>
  <bookViews>
    <workbookView xWindow="0" yWindow="0" windowWidth="15345" windowHeight="4635"/>
  </bookViews>
  <sheets>
    <sheet name="Dados" sheetId="1" r:id="rId1"/>
    <sheet name="Relatóri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1" i="1" l="1"/>
  <c r="S100" i="1" l="1"/>
  <c r="S99" i="1"/>
  <c r="S98" i="1"/>
  <c r="S97" i="1"/>
  <c r="S141" i="1"/>
  <c r="S139" i="1"/>
  <c r="S138" i="1"/>
  <c r="C43" i="2"/>
  <c r="C98" i="2"/>
  <c r="C126" i="2"/>
  <c r="C68" i="2"/>
  <c r="S237" i="1" l="1"/>
  <c r="T229" i="1"/>
  <c r="T104" i="2"/>
  <c r="S140" i="1"/>
  <c r="T139" i="1"/>
  <c r="T138" i="1"/>
  <c r="T100" i="1"/>
  <c r="U66" i="1"/>
  <c r="BL136" i="1" l="1"/>
  <c r="BL138" i="1" s="1"/>
  <c r="S136" i="2"/>
  <c r="O135" i="2"/>
  <c r="D134" i="2"/>
  <c r="C118" i="2"/>
  <c r="T89" i="1" l="1"/>
  <c r="O136" i="2"/>
  <c r="O137" i="2"/>
  <c r="K10" i="2" l="1"/>
  <c r="D47" i="1"/>
  <c r="T140" i="1" l="1"/>
  <c r="S229" i="1"/>
  <c r="BN187" i="1"/>
  <c r="O109" i="2" s="1"/>
  <c r="BO169" i="1"/>
  <c r="T130" i="1"/>
  <c r="U133" i="1"/>
  <c r="U92" i="1"/>
  <c r="S102" i="1" s="1"/>
  <c r="BZ34" i="1"/>
  <c r="BX22" i="1"/>
  <c r="R101" i="1"/>
  <c r="R186" i="1"/>
  <c r="U94" i="1" l="1"/>
  <c r="Q101" i="1"/>
  <c r="S101" i="1"/>
  <c r="T101" i="1" s="1"/>
  <c r="Q98" i="1"/>
  <c r="Q97" i="1"/>
  <c r="T98" i="1" l="1"/>
  <c r="T97" i="1"/>
  <c r="Q99" i="1"/>
  <c r="T185" i="1"/>
  <c r="T75" i="2"/>
  <c r="M47" i="2" l="1"/>
  <c r="M22" i="2"/>
  <c r="O84" i="2"/>
  <c r="O82" i="2"/>
  <c r="T186" i="1"/>
  <c r="Q185" i="1"/>
  <c r="S252" i="1" l="1"/>
  <c r="BN185" i="1"/>
  <c r="O108" i="2" s="1"/>
  <c r="BO185" i="1" l="1"/>
  <c r="BN189" i="1" s="1"/>
  <c r="U229" i="1" l="1"/>
  <c r="S239" i="1" l="1"/>
  <c r="T252" i="1" l="1"/>
  <c r="BM238" i="1"/>
  <c r="S253" i="1" s="1"/>
  <c r="S241" i="1" l="1"/>
  <c r="R99" i="1" l="1"/>
  <c r="T99" i="1" s="1"/>
  <c r="S186" i="1"/>
  <c r="S185" i="1"/>
  <c r="O79" i="2" s="1"/>
  <c r="D39" i="1"/>
  <c r="D40" i="1"/>
  <c r="D41" i="1"/>
  <c r="D42" i="1"/>
  <c r="D43" i="1"/>
  <c r="D44" i="1"/>
  <c r="D45" i="1"/>
  <c r="D46" i="1"/>
  <c r="D49" i="1"/>
  <c r="D50" i="1"/>
  <c r="BT83" i="1" l="1"/>
  <c r="BT82" i="1"/>
  <c r="D51" i="1" l="1"/>
  <c r="D36" i="1"/>
  <c r="D35" i="1"/>
  <c r="D34" i="1"/>
  <c r="D33" i="1"/>
  <c r="D32" i="1"/>
  <c r="D31" i="1"/>
  <c r="D30" i="1"/>
  <c r="D29" i="1"/>
  <c r="D28" i="1"/>
  <c r="K18" i="2" l="1"/>
  <c r="CA34" i="1"/>
  <c r="BY34" i="1"/>
  <c r="BX34" i="1"/>
  <c r="BX30" i="1"/>
  <c r="BX28" i="1"/>
  <c r="BX26" i="1"/>
  <c r="CA22" i="1"/>
  <c r="BZ22" i="1"/>
  <c r="BY22" i="1"/>
  <c r="CA16" i="1"/>
  <c r="BZ16" i="1"/>
  <c r="BY16" i="1"/>
  <c r="BX16" i="1"/>
  <c r="CA4" i="1"/>
  <c r="BZ4" i="1"/>
  <c r="BY4" i="1"/>
  <c r="BX10" i="1"/>
  <c r="BX8" i="1"/>
  <c r="BX6" i="1"/>
  <c r="BX4" i="1"/>
  <c r="R84" i="2"/>
  <c r="BY36" i="1"/>
  <c r="BX36" i="1"/>
  <c r="BY30" i="1"/>
  <c r="BY28" i="1"/>
  <c r="BY26" i="1"/>
  <c r="BY10" i="1"/>
  <c r="BY8" i="1"/>
  <c r="BY6" i="1"/>
  <c r="U27" i="1" l="1"/>
  <c r="K8" i="2" s="1"/>
  <c r="T38" i="1"/>
  <c r="U52" i="1"/>
  <c r="Q8" i="2"/>
  <c r="Q10" i="2" s="1"/>
  <c r="BW83" i="1"/>
  <c r="BW82" i="1"/>
  <c r="T31" i="1"/>
  <c r="BU83" i="1" l="1"/>
  <c r="BL28" i="1"/>
  <c r="U44" i="1"/>
  <c r="O134" i="2" l="1"/>
  <c r="D135" i="2"/>
  <c r="O116" i="2"/>
  <c r="R116" i="2" s="1"/>
  <c r="L113" i="2"/>
  <c r="H112" i="2"/>
  <c r="H111" i="2"/>
  <c r="S250" i="1"/>
  <c r="S249" i="1"/>
  <c r="O112" i="2" s="1"/>
  <c r="S248" i="1"/>
  <c r="H116" i="2"/>
  <c r="O80" i="2"/>
  <c r="O111" i="2" l="1"/>
  <c r="T248" i="1"/>
  <c r="O113" i="2"/>
  <c r="S251" i="1" l="1"/>
  <c r="O114" i="2" s="1"/>
  <c r="O110" i="2" l="1"/>
  <c r="T250" i="1"/>
  <c r="S247" i="1"/>
  <c r="T247" i="1" l="1"/>
  <c r="O115" i="2"/>
  <c r="R110" i="2" l="1"/>
  <c r="N254" i="1"/>
  <c r="H84" i="2" l="1"/>
  <c r="L80" i="2"/>
  <c r="L79" i="2"/>
  <c r="H80" i="2"/>
  <c r="L57" i="2"/>
  <c r="L56" i="2"/>
  <c r="L55" i="2"/>
  <c r="L54" i="2"/>
  <c r="L53" i="2"/>
  <c r="H56" i="2"/>
  <c r="H55" i="2"/>
  <c r="H54" i="2"/>
  <c r="H53" i="2"/>
  <c r="L33" i="2"/>
  <c r="L31" i="2"/>
  <c r="L29" i="2"/>
  <c r="L28" i="2"/>
  <c r="H31" i="2"/>
  <c r="U14" i="2"/>
  <c r="U12" i="2"/>
  <c r="N14" i="2"/>
  <c r="N12" i="2"/>
  <c r="Q6" i="2" l="1"/>
  <c r="I6" i="2"/>
  <c r="R80" i="2" l="1"/>
  <c r="R79" i="2"/>
  <c r="H79" i="2"/>
  <c r="T174" i="1"/>
  <c r="S174" i="1"/>
  <c r="T141" i="1"/>
  <c r="R56" i="2" s="1"/>
  <c r="O56" i="2"/>
  <c r="R54" i="2"/>
  <c r="O54" i="2"/>
  <c r="R53" i="2"/>
  <c r="O53" i="2"/>
  <c r="S142" i="1"/>
  <c r="L32" i="2"/>
  <c r="H32" i="2"/>
  <c r="R31" i="2"/>
  <c r="O31" i="2"/>
  <c r="O30" i="2"/>
  <c r="H29" i="2"/>
  <c r="O28" i="2"/>
  <c r="H28" i="2"/>
  <c r="BM173" i="1" l="1"/>
  <c r="BM174" i="1" s="1"/>
  <c r="O33" i="2"/>
  <c r="T27" i="1"/>
  <c r="N8" i="2" s="1"/>
  <c r="U8" i="2"/>
  <c r="Q14" i="2"/>
  <c r="U50" i="1"/>
  <c r="O57" i="2"/>
  <c r="R55" i="2"/>
  <c r="O55" i="2"/>
  <c r="U10" i="2"/>
  <c r="R29" i="2"/>
  <c r="O29" i="2"/>
  <c r="T36" i="1"/>
  <c r="N10" i="2" s="1"/>
  <c r="R32" i="2"/>
  <c r="O32" i="2"/>
  <c r="R28" i="2"/>
  <c r="K14" i="2" l="1"/>
  <c r="BL24" i="1"/>
  <c r="BM175" i="1"/>
  <c r="U174" i="1"/>
  <c r="BU82" i="1"/>
  <c r="U42" i="1"/>
  <c r="K12" i="2" s="1"/>
  <c r="BS82" i="1"/>
  <c r="BS83" i="1"/>
  <c r="Q12" i="2"/>
  <c r="Q18" i="2" l="1"/>
  <c r="U163" i="1"/>
  <c r="U170" i="1" s="1"/>
  <c r="U178" i="1"/>
  <c r="O83" i="2" s="1"/>
  <c r="U46" i="1"/>
  <c r="N47" i="1" s="1"/>
  <c r="C6" i="2" l="1"/>
  <c r="P160" i="1"/>
  <c r="N45" i="1"/>
  <c r="N46" i="1"/>
  <c r="P117" i="1"/>
  <c r="P80" i="1"/>
  <c r="P207" i="1"/>
  <c r="CB82" i="1"/>
  <c r="BY18" i="1"/>
  <c r="BX18" i="1"/>
  <c r="H73" i="2"/>
  <c r="S187" i="1"/>
  <c r="U209" i="1"/>
  <c r="T251" i="1"/>
  <c r="R114" i="2" s="1"/>
  <c r="R113" i="2"/>
  <c r="T249" i="1"/>
  <c r="R112" i="2" s="1"/>
  <c r="R111" i="2"/>
  <c r="U119" i="1" l="1"/>
  <c r="BY83" i="1"/>
  <c r="BY82" i="1"/>
  <c r="U55" i="1"/>
  <c r="K16" i="2" s="1"/>
  <c r="O81" i="2"/>
  <c r="Q187" i="1"/>
  <c r="T187" i="1" s="1"/>
  <c r="U216" i="1"/>
  <c r="H75" i="2"/>
  <c r="H102" i="2"/>
  <c r="H83" i="2"/>
  <c r="L30" i="2"/>
  <c r="H30" i="2"/>
  <c r="Q253" i="1" l="1"/>
  <c r="H104" i="2"/>
  <c r="BR91" i="1"/>
  <c r="U123" i="1" s="1"/>
  <c r="BV83" i="1"/>
  <c r="T253" i="1"/>
  <c r="R115" i="2" s="1"/>
  <c r="BV82" i="1"/>
  <c r="Q16" i="2"/>
  <c r="H115" i="2"/>
  <c r="R30" i="2"/>
  <c r="BR89" i="1" l="1"/>
  <c r="U82" i="1" s="1"/>
  <c r="Q102" i="1" s="1"/>
  <c r="T102" i="1" s="1"/>
  <c r="BP66" i="1"/>
  <c r="Q142" i="1"/>
  <c r="T142" i="1" s="1"/>
  <c r="R57" i="2" l="1"/>
  <c r="M24" i="2"/>
  <c r="R33" i="2"/>
  <c r="M49" i="2"/>
  <c r="H57" i="2"/>
  <c r="H33" i="2" l="1"/>
  <c r="R83" i="2"/>
</calcChain>
</file>

<file path=xl/sharedStrings.xml><?xml version="1.0" encoding="utf-8"?>
<sst xmlns="http://schemas.openxmlformats.org/spreadsheetml/2006/main" count="758" uniqueCount="421">
  <si>
    <t>Parâmetros</t>
  </si>
  <si>
    <t>DEFINIÇÃO DOS PARÂMETROS</t>
  </si>
  <si>
    <t>Tabela Apoio</t>
  </si>
  <si>
    <t xml:space="preserve">Contrib Esgoto </t>
  </si>
  <si>
    <t xml:space="preserve">Contrib Lodo Fresco </t>
  </si>
  <si>
    <t>1.Ocupantes Fixos</t>
  </si>
  <si>
    <t>1)</t>
  </si>
  <si>
    <t>Resid. Padrão Alto</t>
  </si>
  <si>
    <t>C</t>
  </si>
  <si>
    <t>Ver tabela 1 - A contribuição de esgoto é definido de acordo com a  tipo de ocupação</t>
  </si>
  <si>
    <t>Resid. Padrão Médio</t>
  </si>
  <si>
    <t>Resid. Padrão Baixo</t>
  </si>
  <si>
    <t>N</t>
  </si>
  <si>
    <t>a)</t>
  </si>
  <si>
    <t>Tipo Prédio e Ocupante</t>
  </si>
  <si>
    <t>Alojamento Provisório</t>
  </si>
  <si>
    <t>Fábrica em geral</t>
  </si>
  <si>
    <t>2. Ocupantes temporários</t>
  </si>
  <si>
    <t>Unidade de C</t>
  </si>
  <si>
    <t>Escritório</t>
  </si>
  <si>
    <t>Unidade de N</t>
  </si>
  <si>
    <t>b)</t>
  </si>
  <si>
    <t>2)</t>
  </si>
  <si>
    <t>N = Quantidade do elemento contribuinte</t>
  </si>
  <si>
    <t>Quantidade de habitantes, clientes, funcionários, etc)</t>
  </si>
  <si>
    <t>Restaurantes e similares</t>
  </si>
  <si>
    <t>Lf</t>
  </si>
  <si>
    <t>T</t>
  </si>
  <si>
    <t>litros/refeição</t>
  </si>
  <si>
    <t>3)</t>
  </si>
  <si>
    <t>CTot  =  Contribuição diária total  -  C x N</t>
  </si>
  <si>
    <t>litros/dia</t>
  </si>
  <si>
    <t>litros/lugar</t>
  </si>
  <si>
    <t>item 1 x item 2</t>
  </si>
  <si>
    <t>Projeto</t>
  </si>
  <si>
    <t>4)</t>
  </si>
  <si>
    <t>Lf = Contribuição de lodo fresco</t>
  </si>
  <si>
    <t>Contribuição Diária</t>
  </si>
  <si>
    <t>Ver tabela 1 - Contribuição de acordo com a definição do item 1</t>
  </si>
  <si>
    <t>Dias</t>
  </si>
  <si>
    <t>Horas</t>
  </si>
  <si>
    <t>Até 1.500</t>
  </si>
  <si>
    <t>De 1.500 a 3.000</t>
  </si>
  <si>
    <t>De 3.001 a 4.500</t>
  </si>
  <si>
    <t>5)</t>
  </si>
  <si>
    <t>De 4.501 a 6.000</t>
  </si>
  <si>
    <t>De 6.001 a 7.500</t>
  </si>
  <si>
    <t>De 7.501 a 9.000</t>
  </si>
  <si>
    <t>6)</t>
  </si>
  <si>
    <t>K  =  Taxa de acumulação do lodo</t>
  </si>
  <si>
    <t>Ver tabela 3 - Definido de acordo com o intervalo de limpeza</t>
  </si>
  <si>
    <t>Intervalo entre limpeza (anos)</t>
  </si>
  <si>
    <t xml:space="preserve"> t &lt;= 10</t>
  </si>
  <si>
    <t>10 &lt;= t &gt;= 20</t>
  </si>
  <si>
    <t>t &gt; 20</t>
  </si>
  <si>
    <t>Selecione</t>
  </si>
  <si>
    <t xml:space="preserve">       Temp. entre 10° e 20°, para o </t>
  </si>
  <si>
    <t xml:space="preserve">   Parâmetros</t>
  </si>
  <si>
    <t>LF</t>
  </si>
  <si>
    <t>K</t>
  </si>
  <si>
    <t>Cálculos da unidades</t>
  </si>
  <si>
    <t>Cilíndrico</t>
  </si>
  <si>
    <t>Sim</t>
  </si>
  <si>
    <t>Prismático</t>
  </si>
  <si>
    <t>Não</t>
  </si>
  <si>
    <t>Fossa Séptica</t>
  </si>
  <si>
    <t>Tabela 4 - Profundida Útil mínima e máxima po faixa de volume útil</t>
  </si>
  <si>
    <t xml:space="preserve">V  =  Volume útil (litros) </t>
  </si>
  <si>
    <t>Volume útil (m³)</t>
  </si>
  <si>
    <t>Mínima (m)</t>
  </si>
  <si>
    <t>Máxima (m)</t>
  </si>
  <si>
    <t>Até 6,0</t>
  </si>
  <si>
    <t>Dimensões</t>
  </si>
  <si>
    <t>Norma</t>
  </si>
  <si>
    <t xml:space="preserve">De 6,0 a 10,0 </t>
  </si>
  <si>
    <t>Minimo</t>
  </si>
  <si>
    <t>Máximo</t>
  </si>
  <si>
    <t xml:space="preserve">Mais de 10,0 </t>
  </si>
  <si>
    <t>Cilíndrico (m)</t>
  </si>
  <si>
    <t>Prof (m)</t>
  </si>
  <si>
    <t>Diâm(m)</t>
  </si>
  <si>
    <t>Volume (litros)</t>
  </si>
  <si>
    <t>Diâmetro mínimo: 1,10m</t>
  </si>
  <si>
    <t>Largura interna mínima:  0,80m</t>
  </si>
  <si>
    <t xml:space="preserve">3) </t>
  </si>
  <si>
    <t>Prismático (m)</t>
  </si>
  <si>
    <t>Larg (m)</t>
  </si>
  <si>
    <t>Compr(m)</t>
  </si>
  <si>
    <t>Vol (litros)</t>
  </si>
  <si>
    <t>Relação comprimento/largura (tques prismáticos): minimo 2:1; máximo 4:1</t>
  </si>
  <si>
    <t>Situação</t>
  </si>
  <si>
    <t>Diâmetro (m)</t>
  </si>
  <si>
    <t>----</t>
  </si>
  <si>
    <t>Largura interna (m)</t>
  </si>
  <si>
    <t>Profundidade útil (m)</t>
  </si>
  <si>
    <t>c) 15,0m de poços freáticos e de corpos de água de qquer natureza</t>
  </si>
  <si>
    <t>Comprimento (m)</t>
  </si>
  <si>
    <t>Relação Comp./Largura</t>
  </si>
  <si>
    <t>Volume útil projeto (litros)</t>
  </si>
  <si>
    <t>Filtro Anaerobio</t>
  </si>
  <si>
    <t>Filtro Anaeróbio</t>
  </si>
  <si>
    <t>Volume mínimo:  1000 litros</t>
  </si>
  <si>
    <t>V = 1,60.N.C.T</t>
  </si>
  <si>
    <t xml:space="preserve">Formato do filtro: </t>
  </si>
  <si>
    <t>Altura máxima do fundo falso, incluindo espessura da laje: 0,60m</t>
  </si>
  <si>
    <t>Sumidouro</t>
  </si>
  <si>
    <t>Vala de Infiltração</t>
  </si>
  <si>
    <t>Disposição de Efluente</t>
  </si>
  <si>
    <t>Não informado</t>
  </si>
  <si>
    <t>&gt; 1,50m</t>
  </si>
  <si>
    <t>&lt; 1,50m</t>
  </si>
  <si>
    <t>A base(m²)</t>
  </si>
  <si>
    <t>A later(m²)</t>
  </si>
  <si>
    <t>A infilt.(m²)</t>
  </si>
  <si>
    <t>Área da Base= Pi x D²/4</t>
  </si>
  <si>
    <t>Área lateral = (Pi x D x h)</t>
  </si>
  <si>
    <t xml:space="preserve">6) </t>
  </si>
  <si>
    <t>Área de Infiltração total (m²)</t>
  </si>
  <si>
    <t>Profundidade(m)</t>
  </si>
  <si>
    <t>Largura(m)</t>
  </si>
  <si>
    <t>Largura (m)</t>
  </si>
  <si>
    <t>Instalar tubos de ventilação no incio e final do tubo distribuição</t>
  </si>
  <si>
    <t>Quantidade de elemento contribuinte</t>
  </si>
  <si>
    <t>Contribuição do lodo fresco</t>
  </si>
  <si>
    <t>T - Tempo de detenção do lodo</t>
  </si>
  <si>
    <t>K - Taxa de Acunulação do lodo</t>
  </si>
  <si>
    <t>Formato adotado</t>
  </si>
  <si>
    <t>Nº min. valas p/ operação (un.)</t>
  </si>
  <si>
    <t xml:space="preserve">  Relatório de Análise - Tratamento e Disposição de Efluente</t>
  </si>
  <si>
    <t xml:space="preserve"> TRATAMENTO E DISPOSIÇÃO DE EFLUENTES</t>
  </si>
  <si>
    <t>C  =  Contribuição  díária por tipo de ocupação</t>
  </si>
  <si>
    <t>Contribuição diária por tipo de ocupação</t>
  </si>
  <si>
    <t>Contribuição diária  total</t>
  </si>
  <si>
    <t>Vol. mínimo (litros)</t>
  </si>
  <si>
    <t>Filtro Anaeróbico</t>
  </si>
  <si>
    <t xml:space="preserve">             Entre com os dados</t>
  </si>
  <si>
    <t>Qtde sumidouros p/ operação (un)</t>
  </si>
  <si>
    <t xml:space="preserve">Número de valas  </t>
  </si>
  <si>
    <t>Altura da base da vala até o lençol freático</t>
  </si>
  <si>
    <t>Área de infiltração de cada vala (m²)</t>
  </si>
  <si>
    <t>Nº de  vala(s) em operação (m²)</t>
  </si>
  <si>
    <t>Área de Infilt. por vala(s) em operação(m²)</t>
  </si>
  <si>
    <t>4) Número de valas</t>
  </si>
  <si>
    <t xml:space="preserve"> a) O número mínimo de valas deve ser de dois, cada uma com 100% da capacidade de infiltração, sendo uma</t>
  </si>
  <si>
    <t xml:space="preserve"> b) Pode ser optar por, no mínimo, três valas, cada uma com 50% da capacidade de infiltração, sendo duas </t>
  </si>
  <si>
    <t xml:space="preserve">7) </t>
  </si>
  <si>
    <t xml:space="preserve">Número de valas reserva </t>
  </si>
  <si>
    <t>Número total de valas</t>
  </si>
  <si>
    <t>Relação nº de vala EM OPERAÇÃO/ nº de valas RESERVA</t>
  </si>
  <si>
    <t>Relação nº valas operação /nº  valas reserva</t>
  </si>
  <si>
    <t xml:space="preserve">Área de infiltração total do sistema  (m²)                     </t>
  </si>
  <si>
    <t>Nº valas reserva (un.)</t>
  </si>
  <si>
    <t>Área de Infiltração de cada vala (m²)</t>
  </si>
  <si>
    <t>Área de Infilt. Total - Vala(s) em oper. (m²)</t>
  </si>
  <si>
    <t>Prop.</t>
  </si>
  <si>
    <t>Resp. Técnico</t>
  </si>
  <si>
    <t>CPF</t>
  </si>
  <si>
    <t>Órgão de classe</t>
  </si>
  <si>
    <t>Nº</t>
  </si>
  <si>
    <t>ART / RRT</t>
  </si>
  <si>
    <t>Dados do Proprietário</t>
  </si>
  <si>
    <t>Nome:</t>
  </si>
  <si>
    <t>CPF:</t>
  </si>
  <si>
    <t>Dados do Responsável Técnico</t>
  </si>
  <si>
    <t>CAU</t>
  </si>
  <si>
    <t>Unidade</t>
  </si>
  <si>
    <t>SGA203</t>
  </si>
  <si>
    <t>Não há outra contribuição</t>
  </si>
  <si>
    <t>Hotel (exceto banheira, lavanderia e cozinha)</t>
  </si>
  <si>
    <t>Hotel com cozinha e lavanderia, exceto banheira</t>
  </si>
  <si>
    <t>Hotel com cozinha, lavanderia e banheira</t>
  </si>
  <si>
    <t>Orfanato - Asilo</t>
  </si>
  <si>
    <t>Escola (internato)</t>
  </si>
  <si>
    <t>Presídio</t>
  </si>
  <si>
    <t>Quartel</t>
  </si>
  <si>
    <t>Área rural</t>
  </si>
  <si>
    <t>Edifício público ou comercial</t>
  </si>
  <si>
    <t>Escola de meio período</t>
  </si>
  <si>
    <t>Escola de período integral</t>
  </si>
  <si>
    <t>Creche</t>
  </si>
  <si>
    <t>Bar</t>
  </si>
  <si>
    <t>Ambulatório</t>
  </si>
  <si>
    <t>Estação ferroviária, rodoviária e metroviária</t>
  </si>
  <si>
    <t>Sanitário público</t>
  </si>
  <si>
    <t xml:space="preserve"> Intervalo  limpeza (ano)</t>
  </si>
  <si>
    <t>Residência padrão alto</t>
  </si>
  <si>
    <t>litros/pessoa</t>
  </si>
  <si>
    <t>Residência padrão médio</t>
  </si>
  <si>
    <t>Residência padrão baixo</t>
  </si>
  <si>
    <t>litros/passageiro</t>
  </si>
  <si>
    <t>litros/bacia</t>
  </si>
  <si>
    <t>Tabela 2 - Período de detenção (T) dos despejos, por faixa de contribuição diária</t>
  </si>
  <si>
    <t xml:space="preserve">Tabela 1 - Contribuição per capita diária de esgoto C e de lodo Fresco (Lf)  por tipo de prédio </t>
  </si>
  <si>
    <t>O valor de 1000l da equação deve ser repetido para cada tanque séptico</t>
  </si>
  <si>
    <t>Vazão máxima: 12.000 l/dia</t>
  </si>
  <si>
    <t>tanque</t>
  </si>
  <si>
    <t>Altura útil do filtro anaeróbio, somando a altura do fundo falso  leito filtrante: &gt;=1,20m máx</t>
  </si>
  <si>
    <t xml:space="preserve">A Norma recomenda que, na ocasião da substituição do sumidouro, por outro, em virtude de </t>
  </si>
  <si>
    <t>seis meses, em exposição ao ar livre.</t>
  </si>
  <si>
    <t>eventual entupimento, as paredes do sumidouro substituído devem ficar, por pelo menos</t>
  </si>
  <si>
    <t>Desta maneira é solicitada a previsão, em planta, da localização de um segundo sumidouro,</t>
  </si>
  <si>
    <t>Vazão máxima 12.000 l/dia</t>
  </si>
  <si>
    <t>Diâmetro mínimo - 1,00m</t>
  </si>
  <si>
    <t>Distância mínima entre fundo do sumidouro e o nível do lençol freático - 1,50m</t>
  </si>
  <si>
    <t>para possibilitar a sua implantação, caso seja necessário.</t>
  </si>
  <si>
    <t>sistema de tratamento adotado, considerando a área de infiltração calculada;</t>
  </si>
  <si>
    <t xml:space="preserve">O sumidouro deve ser locado com afastamento de 3 vezes o diâmetro, ou no mínimo a 3,00m do </t>
  </si>
  <si>
    <t>Na existência de vegetação de porte, deve ser verificada a interferência de raízes com o sumidouro;</t>
  </si>
  <si>
    <t>Para edificações, o sumidouro deve respeitar a estrutura de fundação dessa edificação e/ou ter no</t>
  </si>
  <si>
    <t>mínimo 3,0m de distância. Distância inferiores devem ser justificadas</t>
  </si>
  <si>
    <t xml:space="preserve">Quando houver tanque séptico em paralelo, dividir a contribuição e utilizar a equação para cada </t>
  </si>
  <si>
    <t>a) + b)</t>
  </si>
  <si>
    <t xml:space="preserve">Quando houver contribuições de diferentes ocupações, somar as contribuições e determinar um </t>
  </si>
  <si>
    <t>único valor para o tempo de detenção, para cada tanque séptico</t>
  </si>
  <si>
    <t>permanência</t>
  </si>
  <si>
    <t xml:space="preserve">   Obs: Para apenas uma contribuição selecione "Não há </t>
  </si>
  <si>
    <t xml:space="preserve">   outra contribuição"</t>
  </si>
  <si>
    <t xml:space="preserve">Dimensões </t>
  </si>
  <si>
    <t>3) Cilíndrico (m)</t>
  </si>
  <si>
    <t>Distâncias horizontais mínimas</t>
  </si>
  <si>
    <t>a) 1,50 de construções, limites do terreno e ramal predial de água</t>
  </si>
  <si>
    <t xml:space="preserve">b) 3,0m de árvores e plantas com raízes que interfiram e afetem as instalações do sistema de  </t>
  </si>
  <si>
    <t>d) 3,0 m de sumidouros e de valas de infiltração</t>
  </si>
  <si>
    <t xml:space="preserve">    tratamento e de tubulações da rede pública de abastecimento de água</t>
  </si>
  <si>
    <t>-</t>
  </si>
  <si>
    <t>Profundidade máxima - 3,50m</t>
  </si>
  <si>
    <t>Ocupantes fixos</t>
  </si>
  <si>
    <t xml:space="preserve">1. </t>
  </si>
  <si>
    <t>2.</t>
  </si>
  <si>
    <t>Ocupantes</t>
  </si>
  <si>
    <t>c)</t>
  </si>
  <si>
    <t>d)</t>
  </si>
  <si>
    <t>1,50 de construções, limites do terreno e ramal predial de água</t>
  </si>
  <si>
    <t xml:space="preserve">a) </t>
  </si>
  <si>
    <t xml:space="preserve"> 3,0m de árvores e plantas com raízes que interfiram e afetem as instalações do sistema de  </t>
  </si>
  <si>
    <t>3,0 m de sumidouros e de valas de infiltração</t>
  </si>
  <si>
    <t xml:space="preserve">d) </t>
  </si>
  <si>
    <t>tratamento e de tubulações da rede pública de abastecimento de água</t>
  </si>
  <si>
    <t>15,0m de poços freáticos e de corpos de água de qquer natureza</t>
  </si>
  <si>
    <t xml:space="preserve">a)  </t>
  </si>
  <si>
    <t>A distância mínima entre as paredes dos poços múltiplos deve ser de 3,00m. Na existência</t>
  </si>
  <si>
    <t xml:space="preserve">b)   </t>
  </si>
  <si>
    <t xml:space="preserve"> A distância mínima do sumidouro de taludes ou áreas com inclinação de mais de 20° deve ser de no</t>
  </si>
  <si>
    <t xml:space="preserve">e) </t>
  </si>
  <si>
    <t>f)</t>
  </si>
  <si>
    <t>de outros obstáculos, respeitar distância mínima de 1,50m, como muros ou outros;</t>
  </si>
  <si>
    <t xml:space="preserve">     mín. 0,30m</t>
  </si>
  <si>
    <t xml:space="preserve">a) O sumidouro deve ser locado com afastamento de 3 vezes o diâmetro, ou no mínimo a 3,00m do </t>
  </si>
  <si>
    <t>b) A distância mínima entre as paredes dos poços múltiplos deve ser de 3,00m. Na existência</t>
  </si>
  <si>
    <t>c) Na existência de vegetação de porte, deve ser verificada a interferência de raízes com o sumidouro;</t>
  </si>
  <si>
    <t>d) A distância mínima do sumidouro de taludes ou áreas com inclinação de mais de 20° deve ser de no</t>
  </si>
  <si>
    <t xml:space="preserve">    sistema de tratamento adotado, considerando a área de infiltração calculada;</t>
  </si>
  <si>
    <t xml:space="preserve">    mínimo 5,0m, mesmo que estes taludes sejam estruturados e consolidados</t>
  </si>
  <si>
    <t>e) Para edificações, o sumidouro deve respeitar a estrutura de fundação dessa edificação e/ou ter no</t>
  </si>
  <si>
    <t xml:space="preserve">    mínimo 3,0m de distância. Distância inferiores devem ser justificadas</t>
  </si>
  <si>
    <t>min/m</t>
  </si>
  <si>
    <t>aplicação diária</t>
  </si>
  <si>
    <t>m³/m².d</t>
  </si>
  <si>
    <t>Taxa máxima de</t>
  </si>
  <si>
    <t>40 ou menos</t>
  </si>
  <si>
    <t xml:space="preserve">V  =  Volume útil (litros/dia) </t>
  </si>
  <si>
    <t xml:space="preserve">Área de infiltração = Volume útil (m/dia)/Taxa máxima de aplicação diária (m³/m²dia) </t>
  </si>
  <si>
    <t>SISTEMA AUTÔNOMO DE TRATAMENTO E DISPOSIÇÃO DE EFLUENTES - NBR 17076/2024</t>
  </si>
  <si>
    <t>A = Área Inflitração (m²)</t>
  </si>
  <si>
    <t xml:space="preserve">Tabela 3 - Taxa de acumulção de lodo (K), em dias, por intervalo de limpeza  e  </t>
  </si>
  <si>
    <t>Profundidade Útil</t>
  </si>
  <si>
    <t xml:space="preserve">Taxa de </t>
  </si>
  <si>
    <t>percolação</t>
  </si>
  <si>
    <t xml:space="preserve"> Valores de K por faixa de temp ambiente (t) °C</t>
  </si>
  <si>
    <t xml:space="preserve">      para operação e outra reserva  -  Relação 1: 1</t>
  </si>
  <si>
    <t>Se min =2 valas, cada uma deve ter a capac. de 100% do total necessário</t>
  </si>
  <si>
    <t>Se utilizar 3 valas, cada uma deve ter a capacidade de 50% do total necessário</t>
  </si>
  <si>
    <t xml:space="preserve">     para operação e uma reserva, devendo o uso ser alterando a cada três meses  -  Relação 2: 1</t>
  </si>
  <si>
    <t>Mais de um sumidouro para a operação?</t>
  </si>
  <si>
    <t>mínimo 5,0m, mesmo que estes taludes sejam estruturados e consolidados</t>
  </si>
  <si>
    <t>Altura da base do sumidouro até o lençol freático</t>
  </si>
  <si>
    <t xml:space="preserve">    de outros obstáculos, respeitar distância mínima de 1,50m, como muros ou outros;</t>
  </si>
  <si>
    <t xml:space="preserve">     mín. 0,30m, da geratriz inferior do tubo até  o fundo da vala</t>
  </si>
  <si>
    <t>Formato da fossa séptica</t>
  </si>
  <si>
    <t xml:space="preserve">Distâncias </t>
  </si>
  <si>
    <t xml:space="preserve">Nº de valas       -                     </t>
  </si>
  <si>
    <t xml:space="preserve">                          -</t>
  </si>
  <si>
    <t>cada 6 meses</t>
  </si>
  <si>
    <t xml:space="preserve">sendo uma para operação e outra reserva, devendo o uso ser alternado a </t>
  </si>
  <si>
    <t xml:space="preserve">sendo duas para operação e uma reserva, devendo o uso ser alterando </t>
  </si>
  <si>
    <t>a cada três meses</t>
  </si>
  <si>
    <t xml:space="preserve"> tratamento e de tubulações da rede pública de abastecimento de água</t>
  </si>
  <si>
    <t>Parâmetros e distâncias a considerar</t>
  </si>
  <si>
    <t>Dimensões da vala (m)</t>
  </si>
  <si>
    <t>Distância mínima entre a vala de infiltração e o sistema de tratamento           3,0m</t>
  </si>
  <si>
    <t>Área de Infiltração por sumidouro (m²)</t>
  </si>
  <si>
    <t xml:space="preserve">   tratamento adotado, considerando a área de infiltração calculada;</t>
  </si>
  <si>
    <t xml:space="preserve">a) O sumidouro deve ser locado com afastamento de 3 vezes o diâmetro, ou no mínimo a 3,00m do  sistema de  </t>
  </si>
  <si>
    <t>b) A distância mínima entre as paredes dos poços múltiplos deve ser de 3,00m. Na existência de outros obstáculos,</t>
  </si>
  <si>
    <t xml:space="preserve">d) A distância mínima do sumidouro de taludes ou áreas com inclinação de mais de 20° deve ser de no mínimo 5,0m, </t>
  </si>
  <si>
    <t xml:space="preserve">    mesmo que estes taludes sejam estruturados e consolidados</t>
  </si>
  <si>
    <t xml:space="preserve">    de distância. Distância inferiores devem ser justificadas</t>
  </si>
  <si>
    <t xml:space="preserve">e) Para edificações, o sumidouro deve respeitar a estrutura de fundação dessa edificação e/ou ter, no mínimo, 3,0m </t>
  </si>
  <si>
    <t>Vol. Norma (litros)</t>
  </si>
  <si>
    <t>Rel. Nº valas em operação/Nº valas reserva</t>
  </si>
  <si>
    <t>a) Profundidade(m)                   mín. 0,30m, da geratriz inferior do tubo até  o fundo da vala</t>
  </si>
  <si>
    <t>c) Diâmetro Tubo(mm)             min. 100mm</t>
  </si>
  <si>
    <t>d) Distância mínima entre eixos centrais das valas           2,0m</t>
  </si>
  <si>
    <t>e) Distância mínima entre a vala de infiltração e o sistema de tratamento           3,0m</t>
  </si>
  <si>
    <t>NBR - 17076/2024</t>
  </si>
  <si>
    <t xml:space="preserve">Vala de </t>
  </si>
  <si>
    <t>infiltração</t>
  </si>
  <si>
    <t>Preencha os dados abaixo</t>
  </si>
  <si>
    <t xml:space="preserve">3,0m de árvores e plantas com raízes que interfiram e afetem as instalações do sistema de  </t>
  </si>
  <si>
    <t>Área de infilt. mín. (m²)</t>
  </si>
  <si>
    <t>Tx=m³/m²dia</t>
  </si>
  <si>
    <t>Entre com o dado</t>
  </si>
  <si>
    <t>Volume útil minimo (litros)</t>
  </si>
  <si>
    <t>T - Período de detenção dos despejos</t>
  </si>
  <si>
    <t>Ver tabela 2 - Definido de acordo com a faixa de contribuição diária</t>
  </si>
  <si>
    <t>Até 1500</t>
  </si>
  <si>
    <t>Acima de 1501 até 3000</t>
  </si>
  <si>
    <t>Acima de 4501 até 6000</t>
  </si>
  <si>
    <t>Acima de 6001 até 7500</t>
  </si>
  <si>
    <t>Acima de 7501 até 9000</t>
  </si>
  <si>
    <t>Acima de 9001 até 12000</t>
  </si>
  <si>
    <t>Cinema, teatro, templo, igreja e locais de curta permanência</t>
  </si>
  <si>
    <t>inserir "zero"</t>
  </si>
  <si>
    <t xml:space="preserve">       mês mais frio</t>
  </si>
  <si>
    <t xml:space="preserve">                 Entre com os dados</t>
  </si>
  <si>
    <t xml:space="preserve">Tabela 5 - Tempo de detenção hidráulica de esgoto (T), por faixa de vazão e temperaturas do </t>
  </si>
  <si>
    <t>tempo deten filtro</t>
  </si>
  <si>
    <r>
      <t xml:space="preserve">   Selecione  </t>
    </r>
    <r>
      <rPr>
        <b/>
        <sz val="11"/>
        <rFont val="Calibri"/>
        <family val="2"/>
        <scheme val="minor"/>
      </rPr>
      <t>a)</t>
    </r>
  </si>
  <si>
    <r>
      <t xml:space="preserve">   Selecione</t>
    </r>
    <r>
      <rPr>
        <b/>
        <sz val="11"/>
        <rFont val="Calibri"/>
        <family val="2"/>
        <scheme val="minor"/>
      </rPr>
      <t xml:space="preserve">  b)</t>
    </r>
  </si>
  <si>
    <t>V = 1000+N(C.T+K.Lf)</t>
  </si>
  <si>
    <t>T (filtro anaeróbico)</t>
  </si>
  <si>
    <t xml:space="preserve">           esgoto (em dias)</t>
  </si>
  <si>
    <t>CREA</t>
  </si>
  <si>
    <t>Nº da ART/RRT:</t>
  </si>
  <si>
    <t xml:space="preserve">    respeitar distância mínima de 1,50m, como muros ou outros;</t>
  </si>
  <si>
    <t xml:space="preserve">Para o item b), quando houver apenas um tipo de contribuição, </t>
  </si>
  <si>
    <t xml:space="preserve">             e temperatrura do mês mais frio</t>
  </si>
  <si>
    <t>Fossa Vol</t>
  </si>
  <si>
    <t>Filtro Vol</t>
  </si>
  <si>
    <t>valas operação</t>
  </si>
  <si>
    <t>Vala oper</t>
  </si>
  <si>
    <t>Vala reserva</t>
  </si>
  <si>
    <t>A infiltra Sumidouro</t>
  </si>
  <si>
    <t>A infiltra Sumidouro arredondamento</t>
  </si>
  <si>
    <t>A infiltra Sumidouro x nº de sumidouros</t>
  </si>
  <si>
    <t xml:space="preserve">  área total de infiltração do sistema</t>
  </si>
  <si>
    <t>Distâncias horizontais mínimas e altura máxima do fundo falso</t>
  </si>
  <si>
    <t xml:space="preserve">Cinema, teatro, templo, igreja e locais de curta </t>
  </si>
  <si>
    <r>
      <t xml:space="preserve">Órgão de Classe:            </t>
    </r>
    <r>
      <rPr>
        <b/>
        <sz val="12"/>
        <color rgb="FFFF0000"/>
        <rFont val="Calibri"/>
        <family val="2"/>
        <scheme val="minor"/>
      </rPr>
      <t xml:space="preserve">Selecione  </t>
    </r>
  </si>
  <si>
    <t>t &lt; 15°C</t>
  </si>
  <si>
    <t>t -Temperatura média do mês mais frio</t>
  </si>
  <si>
    <t>Vazão (litros/dia)</t>
  </si>
  <si>
    <t>Selec. CREA ou CAU</t>
  </si>
  <si>
    <t>Tempo de Detenção (T)</t>
  </si>
  <si>
    <t>Prédio</t>
  </si>
  <si>
    <t>Ctot (item 3)</t>
  </si>
  <si>
    <t xml:space="preserve">      Norma</t>
  </si>
  <si>
    <t xml:space="preserve">      Projeto</t>
  </si>
  <si>
    <t xml:space="preserve">        b)</t>
  </si>
  <si>
    <t xml:space="preserve">       a)</t>
  </si>
  <si>
    <t>Distância mín. entre funda da vala e o lencol freático                                 1,50m</t>
  </si>
  <si>
    <t>Distância mín. entre a vala de infiltração e o sistema de tratamento        3,0m</t>
  </si>
  <si>
    <t>Distância mín. entre eixos centrais das valas                                               2,0m</t>
  </si>
  <si>
    <t>Diâmetro Tubo(mm)                 min. 100mm</t>
  </si>
  <si>
    <t xml:space="preserve">             dia</t>
  </si>
  <si>
    <t xml:space="preserve">                        A = (Vol. útil/1000)/Tx</t>
  </si>
  <si>
    <t xml:space="preserve">                         Ctot = N x C (litros/dia)</t>
  </si>
  <si>
    <t>15ºC &lt;= t &lt;= 25 ºC</t>
  </si>
  <si>
    <t>t &gt; 25°C</t>
  </si>
  <si>
    <t>Tabela 6 - Conversão de valores de taxa de percolação em taxa de aplicação superficial</t>
  </si>
  <si>
    <t xml:space="preserve">Diâmetro Tubo                    </t>
  </si>
  <si>
    <t xml:space="preserve">     min. 100mm</t>
  </si>
  <si>
    <t xml:space="preserve">     mín. 100mm</t>
  </si>
  <si>
    <t xml:space="preserve">Distância mínima entre eixos centrais das valas            </t>
  </si>
  <si>
    <t xml:space="preserve">             temperatura do mês mais frio  </t>
  </si>
  <si>
    <t>Distância fundo / Lençol freático (m)</t>
  </si>
  <si>
    <t xml:space="preserve">   Nº</t>
  </si>
  <si>
    <t>dia</t>
  </si>
  <si>
    <t xml:space="preserve">  Selecione</t>
  </si>
  <si>
    <t xml:space="preserve">    </t>
  </si>
  <si>
    <t xml:space="preserve">       Selecione</t>
  </si>
  <si>
    <t xml:space="preserve">     2,0m</t>
  </si>
  <si>
    <t>Foi adotada a temperatura entre 15°C e 25°C</t>
  </si>
  <si>
    <t>Compr (m)</t>
  </si>
  <si>
    <t>Diâm (m)</t>
  </si>
  <si>
    <t xml:space="preserve">                   Entre com o dado</t>
  </si>
  <si>
    <r>
      <t xml:space="preserve">       </t>
    </r>
    <r>
      <rPr>
        <b/>
        <sz val="11"/>
        <color theme="1"/>
        <rFont val="Calibri"/>
        <family val="2"/>
        <scheme val="minor"/>
      </rPr>
      <t>Quantos ?</t>
    </r>
  </si>
  <si>
    <t>A base (m²)</t>
  </si>
  <si>
    <t>A later (m²)</t>
  </si>
  <si>
    <t>A infilt (m²)</t>
  </si>
  <si>
    <t>De 9.000 a 12.000</t>
  </si>
  <si>
    <t>Acima de 3001 até 4500</t>
  </si>
  <si>
    <t xml:space="preserve">               Vol. útil (litros/dia)</t>
  </si>
  <si>
    <t xml:space="preserve">         Área de Infiltração (m²)</t>
  </si>
  <si>
    <t xml:space="preserve">                Vol. útil (litros/dia)</t>
  </si>
  <si>
    <t xml:space="preserve">              Vol. útil (litros/dia)</t>
  </si>
  <si>
    <t xml:space="preserve">      V = 1,60.N.C.T</t>
  </si>
  <si>
    <t xml:space="preserve">                 Vol. útil (litros/dia)</t>
  </si>
  <si>
    <t xml:space="preserve">          Área de Infiltração (m²)</t>
  </si>
  <si>
    <t>1) V  =  Volume útil (litros/dia)                          Ctot = N x C (litros/dia)</t>
  </si>
  <si>
    <t xml:space="preserve">            A = (Vol. útil/1000)/Tx</t>
  </si>
  <si>
    <t>Tempo de detenção hidráulica de esgoto, por faixa de vazão e temperatura do esgoto (em dias)               T</t>
  </si>
  <si>
    <t xml:space="preserve">                    Entre com os dados</t>
  </si>
  <si>
    <t>e) Altura máxima do fundo falso, incluindo a espessura da laje  0,60m</t>
  </si>
  <si>
    <t>e) Altura máxima do fundo falso, incluindo a espessura da laje   0,60m</t>
  </si>
  <si>
    <t>Vazão máxima - 12.000 l/dia</t>
  </si>
  <si>
    <t>b) Largura(m)                                mín. 0,30m</t>
  </si>
  <si>
    <t xml:space="preserve">Número mínimo de valas em operação   </t>
  </si>
  <si>
    <t xml:space="preserve">O projeto atende os parâmetros e distâncias mínimas, descritas acima, como </t>
  </si>
  <si>
    <t xml:space="preserve">também as demais determinações da norma? </t>
  </si>
  <si>
    <t xml:space="preserve">cima, como também as demais determinações da norma?  </t>
  </si>
  <si>
    <t xml:space="preserve">O projeto atende as distâncias horizontais e a altura do fundo falso, descritas a </t>
  </si>
  <si>
    <t xml:space="preserve">as demais determinações da norma?  </t>
  </si>
  <si>
    <t xml:space="preserve">O projeto atende as distâncias mínimas, descritas acima, como também as </t>
  </si>
  <si>
    <t xml:space="preserve">demais determinações da norma? </t>
  </si>
  <si>
    <t>O projeto atende as distâncias horizontais,  descritas  acima, como também</t>
  </si>
  <si>
    <t xml:space="preserve">Tx -Taxa máxima de aplicação diária (m³/m²dia), conforme </t>
  </si>
  <si>
    <t xml:space="preserve">                      Entre com os dados</t>
  </si>
  <si>
    <t xml:space="preserve">   Taxa máx. de aplic.  diária (m³/m²dia), conforme</t>
  </si>
  <si>
    <t xml:space="preserve">   ensaio de percolação</t>
  </si>
  <si>
    <t xml:space="preserve">       ensaio de percolação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</si>
</sst>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&quot;R$&quot;\ #,##0.00;\-&quot;R$&quot;\ #,##0.00"/>
    <numFmt numFmtId="8" formatCode="&quot;R$&quot;\ #,##0.00;[Red]\-&quot;R$&quot;\ #,##0.00"/>
    <numFmt numFmtId="43" formatCode="_-* #,##0.00_-;\-* #,##0.00_-;_-* &quot;-&quot;??_-;_-@_-"/>
    <numFmt numFmtId="164" formatCode="#,##0.00_ ;\-#,##0.00\ "/>
    <numFmt numFmtId="165" formatCode="&quot;R$&quot;\ #,##0.00"/>
    <numFmt numFmtId="166" formatCode="000000000\-00"/>
    <numFmt numFmtId="167" formatCode="#,##0.0000_ ;\-#,##0.0000\ "/>
    <numFmt numFmtId="168" formatCode="#,##0.00000_ ;\-#,##0.00000\ "/>
    <numFmt numFmtId="169" formatCode="_(* #,##0.00_);_(* \(#,##0.00\);_(* &quot;-&quot;??_);_(@_)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ECF8A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b/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FF99"/>
      <name val="Calibri"/>
      <family val="2"/>
      <scheme val="minor"/>
    </font>
    <font>
      <b/>
      <sz val="10"/>
      <color rgb="FFFF0000"/>
      <name val="Times New Roman"/>
      <family val="1"/>
    </font>
    <font>
      <u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6F6A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D9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3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3" borderId="0" xfId="0" applyFill="1"/>
    <xf numFmtId="0" fontId="5" fillId="2" borderId="0" xfId="0" applyFont="1" applyFill="1"/>
    <xf numFmtId="0" fontId="5" fillId="2" borderId="0" xfId="0" applyFon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6" fillId="2" borderId="0" xfId="0" applyFont="1" applyFill="1" applyBorder="1"/>
    <xf numFmtId="0" fontId="0" fillId="4" borderId="1" xfId="0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2" borderId="0" xfId="0" applyFont="1" applyFill="1" applyBorder="1"/>
    <xf numFmtId="0" fontId="0" fillId="4" borderId="4" xfId="0" applyFill="1" applyBorder="1"/>
    <xf numFmtId="0" fontId="6" fillId="4" borderId="0" xfId="0" applyFont="1" applyFill="1" applyBorder="1"/>
    <xf numFmtId="0" fontId="0" fillId="4" borderId="0" xfId="0" applyFill="1" applyBorder="1"/>
    <xf numFmtId="0" fontId="0" fillId="4" borderId="5" xfId="0" applyFill="1" applyBorder="1"/>
    <xf numFmtId="0" fontId="6" fillId="4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0" borderId="0" xfId="0" applyBorder="1"/>
    <xf numFmtId="0" fontId="3" fillId="4" borderId="7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righ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/>
    <xf numFmtId="0" fontId="0" fillId="4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top"/>
    </xf>
    <xf numFmtId="0" fontId="6" fillId="2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8" fillId="4" borderId="0" xfId="0" applyFont="1" applyFill="1" applyBorder="1"/>
    <xf numFmtId="0" fontId="0" fillId="2" borderId="0" xfId="0" applyFill="1" applyBorder="1" applyAlignment="1">
      <alignment horizontal="left"/>
    </xf>
    <xf numFmtId="0" fontId="3" fillId="5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 wrapText="1"/>
    </xf>
    <xf numFmtId="0" fontId="3" fillId="4" borderId="4" xfId="0" applyFont="1" applyFill="1" applyBorder="1"/>
    <xf numFmtId="0" fontId="0" fillId="4" borderId="0" xfId="0" applyFont="1" applyFill="1" applyBorder="1"/>
    <xf numFmtId="0" fontId="0" fillId="4" borderId="5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4" borderId="5" xfId="0" applyFont="1" applyFill="1" applyBorder="1"/>
    <xf numFmtId="0" fontId="0" fillId="2" borderId="0" xfId="0" applyFont="1" applyFill="1" applyBorder="1"/>
    <xf numFmtId="0" fontId="8" fillId="4" borderId="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0" fillId="4" borderId="12" xfId="0" applyFill="1" applyBorder="1"/>
    <xf numFmtId="0" fontId="6" fillId="4" borderId="13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3" fillId="4" borderId="0" xfId="0" applyFont="1" applyFill="1" applyBorder="1"/>
    <xf numFmtId="0" fontId="3" fillId="4" borderId="5" xfId="0" applyFont="1" applyFill="1" applyBorder="1"/>
    <xf numFmtId="0" fontId="8" fillId="4" borderId="5" xfId="0" applyFont="1" applyFill="1" applyBorder="1"/>
    <xf numFmtId="0" fontId="8" fillId="2" borderId="0" xfId="0" applyFont="1" applyFill="1" applyBorder="1"/>
    <xf numFmtId="0" fontId="0" fillId="5" borderId="0" xfId="0" applyFill="1" applyBorder="1"/>
    <xf numFmtId="0" fontId="3" fillId="2" borderId="7" xfId="0" applyFont="1" applyFill="1" applyBorder="1" applyAlignment="1">
      <alignment horizontal="center"/>
    </xf>
    <xf numFmtId="2" fontId="11" fillId="3" borderId="12" xfId="0" applyNumberFormat="1" applyFont="1" applyFill="1" applyBorder="1" applyAlignment="1" applyProtection="1">
      <alignment horizontal="center"/>
      <protection locked="0"/>
    </xf>
    <xf numFmtId="0" fontId="13" fillId="4" borderId="0" xfId="0" applyFont="1" applyFill="1" applyBorder="1"/>
    <xf numFmtId="0" fontId="16" fillId="0" borderId="25" xfId="0" applyFont="1" applyFill="1" applyBorder="1" applyAlignment="1"/>
    <xf numFmtId="0" fontId="3" fillId="4" borderId="0" xfId="0" applyFont="1" applyFill="1" applyBorder="1" applyAlignment="1">
      <alignment vertical="center"/>
    </xf>
    <xf numFmtId="0" fontId="12" fillId="4" borderId="6" xfId="0" applyFont="1" applyFill="1" applyBorder="1" applyAlignment="1"/>
    <xf numFmtId="0" fontId="3" fillId="4" borderId="8" xfId="0" applyFont="1" applyFill="1" applyBorder="1" applyAlignment="1"/>
    <xf numFmtId="2" fontId="12" fillId="4" borderId="6" xfId="0" applyNumberFormat="1" applyFont="1" applyFill="1" applyBorder="1" applyAlignment="1">
      <alignment horizontal="center" vertical="center" wrapText="1"/>
    </xf>
    <xf numFmtId="3" fontId="12" fillId="4" borderId="7" xfId="0" quotePrefix="1" applyNumberFormat="1" applyFont="1" applyFill="1" applyBorder="1" applyAlignment="1">
      <alignment horizontal="center" vertical="center" wrapText="1"/>
    </xf>
    <xf numFmtId="2" fontId="12" fillId="4" borderId="7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top"/>
    </xf>
    <xf numFmtId="0" fontId="3" fillId="4" borderId="13" xfId="0" applyFont="1" applyFill="1" applyBorder="1" applyAlignment="1"/>
    <xf numFmtId="3" fontId="12" fillId="4" borderId="15" xfId="0" quotePrefix="1" applyNumberFormat="1" applyFont="1" applyFill="1" applyBorder="1" applyAlignment="1">
      <alignment horizontal="center" vertical="center" wrapText="1"/>
    </xf>
    <xf numFmtId="2" fontId="12" fillId="4" borderId="14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/>
    </xf>
    <xf numFmtId="2" fontId="18" fillId="4" borderId="6" xfId="0" applyNumberFormat="1" applyFont="1" applyFill="1" applyBorder="1" applyAlignment="1">
      <alignment horizontal="center" vertical="center" wrapText="1"/>
    </xf>
    <xf numFmtId="2" fontId="18" fillId="4" borderId="7" xfId="0" applyNumberFormat="1" applyFont="1" applyFill="1" applyBorder="1" applyAlignment="1">
      <alignment horizontal="center" vertical="center" wrapText="1"/>
    </xf>
    <xf numFmtId="2" fontId="12" fillId="4" borderId="12" xfId="0" quotePrefix="1" applyNumberFormat="1" applyFont="1" applyFill="1" applyBorder="1" applyAlignment="1">
      <alignment horizontal="center" vertical="center" wrapText="1"/>
    </xf>
    <xf numFmtId="2" fontId="12" fillId="4" borderId="15" xfId="0" quotePrefix="1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/>
    <xf numFmtId="2" fontId="12" fillId="4" borderId="12" xfId="0" quotePrefix="1" applyNumberFormat="1" applyFont="1" applyFill="1" applyBorder="1" applyAlignment="1">
      <alignment horizontal="center"/>
    </xf>
    <xf numFmtId="2" fontId="12" fillId="4" borderId="7" xfId="0" quotePrefix="1" applyNumberFormat="1" applyFont="1" applyFill="1" applyBorder="1" applyAlignment="1">
      <alignment horizontal="center"/>
    </xf>
    <xf numFmtId="2" fontId="12" fillId="4" borderId="5" xfId="0" applyNumberFormat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/>
    </xf>
    <xf numFmtId="164" fontId="12" fillId="4" borderId="7" xfId="1" applyNumberFormat="1" applyFont="1" applyFill="1" applyBorder="1" applyAlignment="1">
      <alignment horizontal="center" vertical="center" wrapText="1"/>
    </xf>
    <xf numFmtId="0" fontId="3" fillId="4" borderId="13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5" fillId="4" borderId="0" xfId="0" applyFont="1" applyFill="1" applyBorder="1"/>
    <xf numFmtId="0" fontId="16" fillId="0" borderId="26" xfId="0" applyFont="1" applyFill="1" applyBorder="1" applyAlignment="1"/>
    <xf numFmtId="0" fontId="2" fillId="4" borderId="0" xfId="0" applyFont="1" applyFill="1" applyBorder="1"/>
    <xf numFmtId="0" fontId="9" fillId="4" borderId="0" xfId="0" applyFont="1" applyFill="1" applyBorder="1"/>
    <xf numFmtId="2" fontId="12" fillId="4" borderId="6" xfId="0" quotePrefix="1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2" fontId="18" fillId="4" borderId="6" xfId="0" quotePrefix="1" applyNumberFormat="1" applyFont="1" applyFill="1" applyBorder="1" applyAlignment="1">
      <alignment horizontal="center" vertical="center" wrapText="1"/>
    </xf>
    <xf numFmtId="0" fontId="3" fillId="4" borderId="14" xfId="0" applyFont="1" applyFill="1" applyBorder="1"/>
    <xf numFmtId="0" fontId="3" fillId="2" borderId="13" xfId="0" applyFont="1" applyFill="1" applyBorder="1"/>
    <xf numFmtId="0" fontId="0" fillId="2" borderId="13" xfId="0" applyFill="1" applyBorder="1"/>
    <xf numFmtId="0" fontId="5" fillId="4" borderId="2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2" fontId="9" fillId="4" borderId="7" xfId="0" applyNumberFormat="1" applyFont="1" applyFill="1" applyBorder="1" applyAlignment="1">
      <alignment horizontal="center"/>
    </xf>
    <xf numFmtId="2" fontId="18" fillId="4" borderId="7" xfId="0" quotePrefix="1" applyNumberFormat="1" applyFont="1" applyFill="1" applyBorder="1" applyAlignment="1">
      <alignment horizontal="center" vertical="center" wrapText="1"/>
    </xf>
    <xf numFmtId="0" fontId="5" fillId="4" borderId="13" xfId="0" applyFont="1" applyFill="1" applyBorder="1"/>
    <xf numFmtId="0" fontId="21" fillId="5" borderId="13" xfId="0" applyFont="1" applyFill="1" applyBorder="1" applyAlignment="1">
      <alignment vertical="center"/>
    </xf>
    <xf numFmtId="0" fontId="0" fillId="0" borderId="0" xfId="0" applyFill="1"/>
    <xf numFmtId="2" fontId="0" fillId="3" borderId="7" xfId="0" applyNumberFormat="1" applyFill="1" applyBorder="1" applyAlignment="1" applyProtection="1">
      <alignment horizontal="center"/>
      <protection locked="0"/>
    </xf>
    <xf numFmtId="2" fontId="0" fillId="6" borderId="0" xfId="0" applyNumberFormat="1" applyFill="1" applyBorder="1" applyAlignment="1" applyProtection="1">
      <alignment horizontal="center"/>
      <protection locked="0"/>
    </xf>
    <xf numFmtId="0" fontId="9" fillId="4" borderId="4" xfId="0" applyFont="1" applyFill="1" applyBorder="1"/>
    <xf numFmtId="2" fontId="0" fillId="4" borderId="7" xfId="0" applyNumberFormat="1" applyFill="1" applyBorder="1" applyAlignment="1">
      <alignment horizontal="center"/>
    </xf>
    <xf numFmtId="0" fontId="0" fillId="4" borderId="0" xfId="0" applyFill="1"/>
    <xf numFmtId="0" fontId="0" fillId="4" borderId="0" xfId="0" applyFill="1" applyBorder="1" applyAlignment="1">
      <alignment vertical="center"/>
    </xf>
    <xf numFmtId="2" fontId="0" fillId="4" borderId="7" xfId="0" applyNumberFormat="1" applyFont="1" applyFill="1" applyBorder="1" applyAlignment="1">
      <alignment horizontal="center"/>
    </xf>
    <xf numFmtId="2" fontId="0" fillId="5" borderId="0" xfId="0" applyNumberFormat="1" applyFont="1" applyFill="1" applyBorder="1" applyAlignment="1">
      <alignment horizontal="center"/>
    </xf>
    <xf numFmtId="1" fontId="0" fillId="4" borderId="7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3" borderId="0" xfId="0" applyFont="1" applyFill="1"/>
    <xf numFmtId="0" fontId="3" fillId="0" borderId="0" xfId="0" applyFont="1"/>
    <xf numFmtId="0" fontId="0" fillId="0" borderId="0" xfId="0" applyAlignment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24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3" fontId="14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2" fontId="15" fillId="0" borderId="0" xfId="0" applyNumberFormat="1" applyFont="1" applyBorder="1" applyAlignment="1">
      <alignment vertical="center" wrapText="1"/>
    </xf>
    <xf numFmtId="2" fontId="15" fillId="0" borderId="0" xfId="0" applyNumberFormat="1" applyFont="1" applyBorder="1" applyAlignment="1">
      <alignment vertical="center"/>
    </xf>
    <xf numFmtId="2" fontId="11" fillId="0" borderId="0" xfId="0" applyNumberFormat="1" applyFont="1" applyFill="1" applyBorder="1"/>
    <xf numFmtId="0" fontId="12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3" fontId="23" fillId="0" borderId="0" xfId="0" applyNumberFormat="1" applyFont="1" applyBorder="1" applyAlignment="1">
      <alignment horizontal="center" vertical="center"/>
    </xf>
    <xf numFmtId="43" fontId="0" fillId="0" borderId="0" xfId="1" applyFont="1"/>
    <xf numFmtId="0" fontId="27" fillId="0" borderId="16" xfId="0" applyFont="1" applyBorder="1" applyAlignment="1">
      <alignment vertical="center"/>
    </xf>
    <xf numFmtId="0" fontId="27" fillId="0" borderId="17" xfId="0" applyFont="1" applyBorder="1" applyAlignment="1">
      <alignment vertical="center" wrapText="1"/>
    </xf>
    <xf numFmtId="0" fontId="16" fillId="0" borderId="27" xfId="0" applyFont="1" applyBorder="1" applyAlignment="1">
      <alignment vertical="center"/>
    </xf>
    <xf numFmtId="0" fontId="16" fillId="0" borderId="0" xfId="0" applyFont="1" applyBorder="1" applyAlignment="1"/>
    <xf numFmtId="0" fontId="16" fillId="0" borderId="0" xfId="0" applyFont="1" applyBorder="1"/>
    <xf numFmtId="0" fontId="16" fillId="0" borderId="17" xfId="0" applyFont="1" applyBorder="1"/>
    <xf numFmtId="0" fontId="16" fillId="0" borderId="17" xfId="0" applyFont="1" applyBorder="1" applyAlignment="1"/>
    <xf numFmtId="7" fontId="16" fillId="0" borderId="17" xfId="0" applyNumberFormat="1" applyFont="1" applyBorder="1" applyAlignment="1">
      <alignment vertical="center"/>
    </xf>
    <xf numFmtId="0" fontId="16" fillId="0" borderId="18" xfId="0" applyFont="1" applyBorder="1"/>
    <xf numFmtId="0" fontId="29" fillId="0" borderId="0" xfId="0" applyFont="1" applyBorder="1"/>
    <xf numFmtId="0" fontId="16" fillId="0" borderId="27" xfId="0" applyFont="1" applyBorder="1" applyAlignment="1"/>
    <xf numFmtId="0" fontId="30" fillId="0" borderId="27" xfId="0" applyFont="1" applyBorder="1" applyAlignment="1">
      <alignment vertical="center"/>
    </xf>
    <xf numFmtId="0" fontId="16" fillId="0" borderId="28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27" fillId="0" borderId="0" xfId="0" applyFont="1" applyBorder="1"/>
    <xf numFmtId="0" fontId="16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2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Protection="1"/>
    <xf numFmtId="0" fontId="12" fillId="3" borderId="0" xfId="0" applyFont="1" applyFill="1" applyBorder="1" applyAlignment="1" applyProtection="1"/>
    <xf numFmtId="0" fontId="12" fillId="3" borderId="0" xfId="0" applyFont="1" applyFill="1" applyBorder="1" applyProtection="1"/>
    <xf numFmtId="2" fontId="12" fillId="3" borderId="0" xfId="0" quotePrefix="1" applyNumberFormat="1" applyFont="1" applyFill="1" applyBorder="1" applyAlignment="1" applyProtection="1">
      <alignment horizontal="center" vertical="center" wrapText="1"/>
    </xf>
    <xf numFmtId="164" fontId="12" fillId="3" borderId="0" xfId="1" applyNumberFormat="1" applyFont="1" applyFill="1" applyBorder="1" applyAlignment="1" applyProtection="1">
      <alignment horizontal="center" vertical="center" wrapText="1"/>
    </xf>
    <xf numFmtId="0" fontId="17" fillId="3" borderId="0" xfId="0" applyFont="1" applyFill="1" applyBorder="1" applyAlignment="1" applyProtection="1">
      <alignment horizontal="center"/>
    </xf>
    <xf numFmtId="0" fontId="27" fillId="0" borderId="0" xfId="0" applyFont="1"/>
    <xf numFmtId="0" fontId="0" fillId="0" borderId="0" xfId="0" applyFont="1"/>
    <xf numFmtId="0" fontId="0" fillId="0" borderId="0" xfId="0" applyFont="1" applyAlignment="1"/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 wrapText="1"/>
    </xf>
    <xf numFmtId="0" fontId="0" fillId="0" borderId="0" xfId="0" applyFont="1" applyBorder="1"/>
    <xf numFmtId="0" fontId="32" fillId="0" borderId="0" xfId="0" applyFont="1" applyBorder="1" applyAlignment="1">
      <alignment horizontal="center" vertical="center" wrapText="1"/>
    </xf>
    <xf numFmtId="0" fontId="33" fillId="0" borderId="16" xfId="0" applyFont="1" applyBorder="1" applyAlignment="1">
      <alignment vertical="center"/>
    </xf>
    <xf numFmtId="0" fontId="33" fillId="0" borderId="17" xfId="0" applyFont="1" applyBorder="1" applyAlignment="1">
      <alignment vertical="center" wrapText="1"/>
    </xf>
    <xf numFmtId="0" fontId="33" fillId="0" borderId="18" xfId="0" applyFont="1" applyBorder="1" applyAlignment="1">
      <alignment vertical="center" wrapText="1"/>
    </xf>
    <xf numFmtId="0" fontId="33" fillId="0" borderId="27" xfId="0" applyFont="1" applyBorder="1" applyAlignment="1">
      <alignment vertical="center"/>
    </xf>
    <xf numFmtId="0" fontId="30" fillId="0" borderId="28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3" fontId="16" fillId="0" borderId="0" xfId="0" applyNumberFormat="1" applyFont="1" applyBorder="1" applyAlignment="1">
      <alignment vertical="center" wrapText="1"/>
    </xf>
    <xf numFmtId="0" fontId="16" fillId="0" borderId="28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16" fillId="0" borderId="28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center" wrapText="1"/>
    </xf>
    <xf numFmtId="2" fontId="12" fillId="0" borderId="0" xfId="0" applyNumberFormat="1" applyFont="1" applyBorder="1" applyAlignment="1">
      <alignment vertical="center" wrapText="1"/>
    </xf>
    <xf numFmtId="164" fontId="16" fillId="0" borderId="0" xfId="1" applyNumberFormat="1" applyFont="1" applyBorder="1" applyAlignment="1">
      <alignment vertical="center"/>
    </xf>
    <xf numFmtId="164" fontId="16" fillId="0" borderId="28" xfId="1" applyNumberFormat="1" applyFont="1" applyBorder="1" applyAlignment="1">
      <alignment vertical="center"/>
    </xf>
    <xf numFmtId="0" fontId="16" fillId="0" borderId="27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16" fillId="0" borderId="19" xfId="0" applyFont="1" applyBorder="1" applyAlignment="1">
      <alignment vertical="center"/>
    </xf>
    <xf numFmtId="0" fontId="16" fillId="0" borderId="22" xfId="0" applyFont="1" applyBorder="1" applyAlignment="1">
      <alignment vertical="center" wrapText="1"/>
    </xf>
    <xf numFmtId="2" fontId="16" fillId="0" borderId="0" xfId="0" applyNumberFormat="1" applyFont="1" applyBorder="1" applyAlignment="1">
      <alignment vertical="center" wrapText="1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16" fillId="0" borderId="17" xfId="0" applyFont="1" applyBorder="1" applyAlignment="1">
      <alignment vertical="top" wrapText="1"/>
    </xf>
    <xf numFmtId="2" fontId="16" fillId="0" borderId="17" xfId="0" applyNumberFormat="1" applyFont="1" applyBorder="1" applyAlignment="1">
      <alignment vertical="center" wrapText="1"/>
    </xf>
    <xf numFmtId="2" fontId="16" fillId="0" borderId="18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vertical="center"/>
    </xf>
    <xf numFmtId="2" fontId="12" fillId="0" borderId="0" xfId="0" applyNumberFormat="1" applyFont="1" applyBorder="1" applyAlignment="1">
      <alignment vertical="center"/>
    </xf>
    <xf numFmtId="2" fontId="16" fillId="0" borderId="28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16" fillId="0" borderId="0" xfId="0" applyFont="1" applyBorder="1" applyAlignment="1">
      <alignment vertical="top" wrapText="1"/>
    </xf>
    <xf numFmtId="43" fontId="16" fillId="0" borderId="0" xfId="1" applyFont="1" applyBorder="1" applyAlignment="1">
      <alignment vertical="center"/>
    </xf>
    <xf numFmtId="43" fontId="16" fillId="0" borderId="0" xfId="0" applyNumberFormat="1" applyFont="1" applyBorder="1" applyAlignment="1">
      <alignment vertical="center" wrapText="1"/>
    </xf>
    <xf numFmtId="4" fontId="16" fillId="0" borderId="0" xfId="0" applyNumberFormat="1" applyFont="1" applyBorder="1" applyAlignment="1">
      <alignment vertical="center" wrapText="1"/>
    </xf>
    <xf numFmtId="0" fontId="12" fillId="0" borderId="23" xfId="0" applyFont="1" applyFill="1" applyBorder="1" applyAlignment="1"/>
    <xf numFmtId="0" fontId="3" fillId="0" borderId="25" xfId="0" applyFont="1" applyFill="1" applyBorder="1" applyAlignment="1"/>
    <xf numFmtId="0" fontId="12" fillId="0" borderId="27" xfId="0" applyFont="1" applyFill="1" applyBorder="1" applyAlignment="1"/>
    <xf numFmtId="0" fontId="3" fillId="0" borderId="0" xfId="0" applyFont="1" applyFill="1" applyBorder="1" applyAlignment="1"/>
    <xf numFmtId="0" fontId="16" fillId="0" borderId="0" xfId="0" applyFont="1" applyFill="1" applyBorder="1" applyAlignment="1"/>
    <xf numFmtId="0" fontId="16" fillId="0" borderId="28" xfId="0" applyFont="1" applyFill="1" applyBorder="1" applyAlignment="1"/>
    <xf numFmtId="0" fontId="12" fillId="0" borderId="19" xfId="0" applyFont="1" applyFill="1" applyBorder="1" applyAlignment="1">
      <alignment vertical="center"/>
    </xf>
    <xf numFmtId="0" fontId="12" fillId="0" borderId="21" xfId="0" applyFont="1" applyFill="1" applyBorder="1" applyAlignment="1">
      <alignment vertical="center"/>
    </xf>
    <xf numFmtId="0" fontId="16" fillId="0" borderId="21" xfId="0" applyFont="1" applyFill="1" applyBorder="1" applyAlignment="1">
      <alignment horizontal="left"/>
    </xf>
    <xf numFmtId="0" fontId="0" fillId="0" borderId="0" xfId="0" applyFont="1" applyFill="1" applyBorder="1"/>
    <xf numFmtId="0" fontId="16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64" fontId="16" fillId="3" borderId="0" xfId="1" applyNumberFormat="1" applyFont="1" applyFill="1" applyBorder="1" applyAlignment="1" applyProtection="1">
      <alignment horizontal="center" vertical="center" wrapText="1"/>
    </xf>
    <xf numFmtId="2" fontId="16" fillId="3" borderId="0" xfId="0" applyNumberFormat="1" applyFont="1" applyFill="1" applyBorder="1" applyAlignment="1" applyProtection="1">
      <alignment horizontal="center" vertical="center"/>
    </xf>
    <xf numFmtId="0" fontId="0" fillId="0" borderId="21" xfId="0" applyFont="1" applyFill="1" applyBorder="1"/>
    <xf numFmtId="0" fontId="16" fillId="0" borderId="21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2" fontId="12" fillId="0" borderId="21" xfId="0" applyNumberFormat="1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2" fillId="0" borderId="21" xfId="0" applyFont="1" applyBorder="1" applyAlignment="1">
      <alignment vertical="center" wrapText="1"/>
    </xf>
    <xf numFmtId="2" fontId="16" fillId="0" borderId="17" xfId="1" applyNumberFormat="1" applyFont="1" applyBorder="1" applyAlignment="1">
      <alignment vertical="center" wrapText="1"/>
    </xf>
    <xf numFmtId="0" fontId="16" fillId="0" borderId="17" xfId="0" applyFont="1" applyBorder="1" applyAlignment="1">
      <alignment vertical="center"/>
    </xf>
    <xf numFmtId="2" fontId="16" fillId="0" borderId="18" xfId="0" applyNumberFormat="1" applyFont="1" applyBorder="1" applyAlignment="1">
      <alignment vertical="center" wrapText="1"/>
    </xf>
    <xf numFmtId="0" fontId="35" fillId="0" borderId="27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2" fontId="16" fillId="0" borderId="28" xfId="0" applyNumberFormat="1" applyFont="1" applyBorder="1" applyAlignment="1">
      <alignment vertical="center" wrapText="1"/>
    </xf>
    <xf numFmtId="0" fontId="8" fillId="0" borderId="27" xfId="0" applyFont="1" applyBorder="1" applyAlignment="1">
      <alignment vertical="center"/>
    </xf>
    <xf numFmtId="0" fontId="12" fillId="0" borderId="16" xfId="0" applyFont="1" applyFill="1" applyBorder="1" applyAlignment="1"/>
    <xf numFmtId="0" fontId="3" fillId="0" borderId="17" xfId="0" applyFont="1" applyFill="1" applyBorder="1" applyAlignment="1"/>
    <xf numFmtId="0" fontId="16" fillId="0" borderId="17" xfId="0" applyFont="1" applyFill="1" applyBorder="1" applyAlignment="1"/>
    <xf numFmtId="0" fontId="16" fillId="0" borderId="18" xfId="0" applyFont="1" applyFill="1" applyBorder="1" applyAlignment="1"/>
    <xf numFmtId="0" fontId="12" fillId="3" borderId="23" xfId="0" applyFont="1" applyFill="1" applyBorder="1" applyAlignment="1"/>
    <xf numFmtId="0" fontId="3" fillId="3" borderId="25" xfId="0" applyFont="1" applyFill="1" applyBorder="1" applyAlignment="1"/>
    <xf numFmtId="0" fontId="16" fillId="3" borderId="25" xfId="0" applyFont="1" applyFill="1" applyBorder="1" applyAlignment="1"/>
    <xf numFmtId="0" fontId="16" fillId="3" borderId="26" xfId="0" applyFont="1" applyFill="1" applyBorder="1" applyAlignment="1"/>
    <xf numFmtId="0" fontId="27" fillId="0" borderId="28" xfId="0" applyFont="1" applyBorder="1" applyAlignment="1">
      <alignment vertical="center" wrapText="1"/>
    </xf>
    <xf numFmtId="0" fontId="16" fillId="0" borderId="21" xfId="0" applyFont="1" applyFill="1" applyBorder="1" applyAlignment="1"/>
    <xf numFmtId="0" fontId="16" fillId="0" borderId="22" xfId="0" applyFont="1" applyFill="1" applyBorder="1" applyAlignment="1"/>
    <xf numFmtId="2" fontId="16" fillId="0" borderId="0" xfId="1" applyNumberFormat="1" applyFont="1" applyBorder="1" applyAlignment="1">
      <alignment vertical="center" wrapText="1"/>
    </xf>
    <xf numFmtId="164" fontId="16" fillId="0" borderId="0" xfId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64" fontId="16" fillId="0" borderId="0" xfId="0" applyNumberFormat="1" applyFont="1" applyBorder="1" applyAlignment="1">
      <alignment horizontal="center" vertical="center"/>
    </xf>
    <xf numFmtId="0" fontId="12" fillId="0" borderId="25" xfId="0" applyFont="1" applyFill="1" applyBorder="1" applyAlignment="1"/>
    <xf numFmtId="0" fontId="12" fillId="0" borderId="26" xfId="0" applyFont="1" applyFill="1" applyBorder="1" applyAlignment="1"/>
    <xf numFmtId="0" fontId="39" fillId="0" borderId="28" xfId="0" applyFont="1" applyBorder="1" applyAlignment="1">
      <alignment vertical="center" wrapText="1"/>
    </xf>
    <xf numFmtId="0" fontId="12" fillId="0" borderId="0" xfId="0" applyFont="1" applyFill="1" applyBorder="1" applyAlignment="1"/>
    <xf numFmtId="0" fontId="12" fillId="0" borderId="28" xfId="0" applyFont="1" applyFill="1" applyBorder="1" applyAlignment="1"/>
    <xf numFmtId="0" fontId="12" fillId="0" borderId="21" xfId="0" applyFont="1" applyFill="1" applyBorder="1" applyAlignment="1"/>
    <xf numFmtId="2" fontId="12" fillId="0" borderId="23" xfId="0" applyNumberFormat="1" applyFont="1" applyBorder="1" applyAlignment="1">
      <alignment vertical="center"/>
    </xf>
    <xf numFmtId="0" fontId="12" fillId="0" borderId="27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23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40" fillId="0" borderId="0" xfId="0" applyFont="1" applyBorder="1" applyAlignment="1">
      <alignment vertical="center"/>
    </xf>
    <xf numFmtId="7" fontId="40" fillId="0" borderId="0" xfId="0" applyNumberFormat="1" applyFont="1" applyBorder="1" applyAlignment="1">
      <alignment vertical="center"/>
    </xf>
    <xf numFmtId="8" fontId="16" fillId="0" borderId="0" xfId="0" applyNumberFormat="1" applyFont="1" applyBorder="1" applyAlignment="1">
      <alignment vertical="center"/>
    </xf>
    <xf numFmtId="0" fontId="0" fillId="0" borderId="16" xfId="0" applyFont="1" applyBorder="1" applyAlignment="1">
      <alignment horizontal="center"/>
    </xf>
    <xf numFmtId="0" fontId="40" fillId="0" borderId="17" xfId="0" applyFont="1" applyBorder="1" applyAlignment="1">
      <alignment vertical="center"/>
    </xf>
    <xf numFmtId="0" fontId="34" fillId="0" borderId="0" xfId="0" applyFont="1" applyBorder="1"/>
    <xf numFmtId="0" fontId="22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40" fillId="0" borderId="28" xfId="0" applyNumberFormat="1" applyFont="1" applyBorder="1" applyAlignment="1">
      <alignment vertical="center"/>
    </xf>
    <xf numFmtId="0" fontId="40" fillId="0" borderId="28" xfId="0" applyFont="1" applyBorder="1" applyAlignment="1">
      <alignment vertical="center"/>
    </xf>
    <xf numFmtId="0" fontId="30" fillId="0" borderId="28" xfId="0" applyFont="1" applyBorder="1" applyAlignment="1">
      <alignment vertical="center" wrapText="1"/>
    </xf>
    <xf numFmtId="0" fontId="16" fillId="0" borderId="0" xfId="0" applyFont="1"/>
    <xf numFmtId="164" fontId="12" fillId="0" borderId="0" xfId="1" applyNumberFormat="1" applyFont="1" applyBorder="1" applyAlignment="1">
      <alignment vertical="center" wrapText="1"/>
    </xf>
    <xf numFmtId="164" fontId="16" fillId="0" borderId="0" xfId="0" applyNumberFormat="1" applyFont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2" fontId="12" fillId="5" borderId="0" xfId="0" quotePrefix="1" applyNumberFormat="1" applyFont="1" applyFill="1" applyBorder="1" applyAlignment="1">
      <alignment horizontal="center" vertical="center" wrapText="1"/>
    </xf>
    <xf numFmtId="164" fontId="12" fillId="5" borderId="0" xfId="1" applyNumberFormat="1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/>
    </xf>
    <xf numFmtId="0" fontId="9" fillId="8" borderId="0" xfId="0" applyFont="1" applyFill="1" applyBorder="1" applyAlignment="1">
      <alignment horizontal="center"/>
    </xf>
    <xf numFmtId="164" fontId="12" fillId="4" borderId="6" xfId="1" quotePrefix="1" applyNumberFormat="1" applyFont="1" applyFill="1" applyBorder="1" applyAlignment="1">
      <alignment horizontal="center" vertical="center" wrapText="1"/>
    </xf>
    <xf numFmtId="2" fontId="12" fillId="3" borderId="0" xfId="0" quotePrefix="1" applyNumberFormat="1" applyFont="1" applyFill="1" applyBorder="1" applyAlignment="1" applyProtection="1">
      <alignment vertical="center" wrapText="1"/>
    </xf>
    <xf numFmtId="0" fontId="22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 wrapText="1"/>
    </xf>
    <xf numFmtId="0" fontId="39" fillId="0" borderId="0" xfId="0" applyFont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2" fontId="39" fillId="0" borderId="0" xfId="0" applyNumberFormat="1" applyFont="1" applyBorder="1" applyAlignment="1">
      <alignment horizontal="center" vertical="center" wrapText="1"/>
    </xf>
    <xf numFmtId="3" fontId="39" fillId="0" borderId="0" xfId="0" quotePrefix="1" applyNumberFormat="1" applyFont="1" applyBorder="1" applyAlignment="1">
      <alignment horizontal="center" vertical="center" wrapText="1"/>
    </xf>
    <xf numFmtId="7" fontId="16" fillId="0" borderId="0" xfId="0" applyNumberFormat="1" applyFont="1" applyBorder="1" applyAlignment="1">
      <alignment vertical="center"/>
    </xf>
    <xf numFmtId="165" fontId="40" fillId="0" borderId="0" xfId="0" applyNumberFormat="1" applyFont="1" applyBorder="1" applyAlignment="1">
      <alignment vertical="center"/>
    </xf>
    <xf numFmtId="0" fontId="2" fillId="0" borderId="0" xfId="0" applyFont="1" applyFill="1" applyBorder="1"/>
    <xf numFmtId="2" fontId="16" fillId="0" borderId="0" xfId="0" applyNumberFormat="1" applyFont="1" applyBorder="1" applyAlignment="1"/>
    <xf numFmtId="164" fontId="16" fillId="0" borderId="0" xfId="1" quotePrefix="1" applyNumberFormat="1" applyFont="1" applyFill="1" applyBorder="1" applyAlignment="1">
      <alignment wrapText="1"/>
    </xf>
    <xf numFmtId="0" fontId="0" fillId="5" borderId="5" xfId="0" applyFill="1" applyBorder="1"/>
    <xf numFmtId="2" fontId="0" fillId="5" borderId="0" xfId="0" applyNumberFormat="1" applyFill="1" applyBorder="1"/>
    <xf numFmtId="0" fontId="9" fillId="2" borderId="0" xfId="0" applyFont="1" applyFill="1" applyBorder="1"/>
    <xf numFmtId="0" fontId="9" fillId="5" borderId="0" xfId="0" applyFont="1" applyFill="1" applyBorder="1"/>
    <xf numFmtId="0" fontId="40" fillId="0" borderId="27" xfId="0" applyFont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0" fillId="5" borderId="0" xfId="0" applyNumberFormat="1" applyFill="1" applyBorder="1" applyAlignment="1">
      <alignment horizontal="center"/>
    </xf>
    <xf numFmtId="2" fontId="12" fillId="0" borderId="0" xfId="0" applyNumberFormat="1" applyFont="1" applyBorder="1" applyAlignment="1">
      <alignment horizontal="left" vertical="center"/>
    </xf>
    <xf numFmtId="0" fontId="3" fillId="5" borderId="4" xfId="0" applyFont="1" applyFill="1" applyBorder="1" applyAlignment="1">
      <alignment horizontal="left"/>
    </xf>
    <xf numFmtId="1" fontId="0" fillId="5" borderId="0" xfId="0" applyNumberFormat="1" applyFont="1" applyFill="1" applyBorder="1" applyAlignment="1">
      <alignment horizontal="center"/>
    </xf>
    <xf numFmtId="1" fontId="0" fillId="8" borderId="0" xfId="0" applyNumberFormat="1" applyFont="1" applyFill="1" applyBorder="1" applyAlignment="1">
      <alignment horizontal="center"/>
    </xf>
    <xf numFmtId="1" fontId="0" fillId="0" borderId="7" xfId="0" applyNumberFormat="1" applyFont="1" applyFill="1" applyBorder="1" applyAlignment="1" applyProtection="1">
      <alignment horizontal="center"/>
      <protection locked="0"/>
    </xf>
    <xf numFmtId="2" fontId="0" fillId="8" borderId="0" xfId="0" applyNumberFormat="1" applyFont="1" applyFill="1" applyBorder="1" applyAlignment="1">
      <alignment horizontal="center"/>
    </xf>
    <xf numFmtId="2" fontId="18" fillId="4" borderId="15" xfId="0" quotePrefix="1" applyNumberFormat="1" applyFont="1" applyFill="1" applyBorder="1" applyAlignment="1">
      <alignment horizontal="center" vertical="center" wrapText="1"/>
    </xf>
    <xf numFmtId="2" fontId="12" fillId="4" borderId="7" xfId="0" quotePrefix="1" applyNumberFormat="1" applyFont="1" applyFill="1" applyBorder="1" applyAlignment="1">
      <alignment horizontal="center" vertical="center" wrapText="1"/>
    </xf>
    <xf numFmtId="2" fontId="12" fillId="4" borderId="7" xfId="0" quotePrefix="1" applyNumberFormat="1" applyFont="1" applyFill="1" applyBorder="1" applyAlignment="1">
      <alignment horizontal="center" vertical="center"/>
    </xf>
    <xf numFmtId="0" fontId="0" fillId="5" borderId="0" xfId="0" applyFont="1" applyFill="1" applyBorder="1"/>
    <xf numFmtId="0" fontId="0" fillId="5" borderId="13" xfId="0" applyFill="1" applyBorder="1"/>
    <xf numFmtId="0" fontId="3" fillId="5" borderId="13" xfId="0" applyFont="1" applyFill="1" applyBorder="1"/>
    <xf numFmtId="0" fontId="0" fillId="5" borderId="13" xfId="0" applyFont="1" applyFill="1" applyBorder="1"/>
    <xf numFmtId="0" fontId="0" fillId="5" borderId="14" xfId="0" applyFill="1" applyBorder="1"/>
    <xf numFmtId="2" fontId="11" fillId="5" borderId="0" xfId="0" applyNumberFormat="1" applyFont="1" applyFill="1" applyBorder="1" applyAlignment="1" applyProtection="1">
      <protection locked="0"/>
    </xf>
    <xf numFmtId="2" fontId="11" fillId="5" borderId="0" xfId="0" applyNumberFormat="1" applyFont="1" applyFill="1" applyBorder="1" applyAlignment="1" applyProtection="1">
      <alignment horizontal="center"/>
      <protection locked="0"/>
    </xf>
    <xf numFmtId="0" fontId="3" fillId="5" borderId="13" xfId="0" applyFont="1" applyFill="1" applyBorder="1" applyAlignment="1">
      <alignment horizontal="left"/>
    </xf>
    <xf numFmtId="2" fontId="0" fillId="5" borderId="0" xfId="0" applyNumberFormat="1" applyFill="1" applyBorder="1" applyAlignment="1" applyProtection="1">
      <alignment horizontal="center"/>
      <protection locked="0"/>
    </xf>
    <xf numFmtId="2" fontId="0" fillId="8" borderId="0" xfId="0" applyNumberFormat="1" applyFill="1" applyBorder="1" applyAlignment="1">
      <alignment horizontal="center"/>
    </xf>
    <xf numFmtId="4" fontId="11" fillId="3" borderId="6" xfId="0" applyNumberFormat="1" applyFont="1" applyFill="1" applyBorder="1" applyAlignment="1" applyProtection="1">
      <alignment horizontal="center"/>
      <protection locked="0"/>
    </xf>
    <xf numFmtId="4" fontId="11" fillId="3" borderId="15" xfId="0" applyNumberFormat="1" applyFont="1" applyFill="1" applyBorder="1" applyAlignment="1" applyProtection="1">
      <alignment horizontal="center"/>
      <protection locked="0"/>
    </xf>
    <xf numFmtId="4" fontId="11" fillId="3" borderId="14" xfId="0" applyNumberFormat="1" applyFont="1" applyFill="1" applyBorder="1" applyAlignment="1" applyProtection="1">
      <alignment horizontal="center"/>
      <protection locked="0"/>
    </xf>
    <xf numFmtId="4" fontId="11" fillId="4" borderId="15" xfId="0" applyNumberFormat="1" applyFont="1" applyFill="1" applyBorder="1" applyAlignment="1" applyProtection="1">
      <alignment horizontal="center"/>
    </xf>
    <xf numFmtId="4" fontId="11" fillId="4" borderId="14" xfId="0" applyNumberFormat="1" applyFont="1" applyFill="1" applyBorder="1" applyAlignment="1" applyProtection="1">
      <alignment horizontal="center"/>
    </xf>
    <xf numFmtId="4" fontId="0" fillId="4" borderId="24" xfId="1" applyNumberFormat="1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/>
    <xf numFmtId="0" fontId="16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 wrapText="1"/>
    </xf>
    <xf numFmtId="0" fontId="6" fillId="2" borderId="0" xfId="0" applyFont="1" applyFill="1"/>
    <xf numFmtId="0" fontId="6" fillId="2" borderId="0" xfId="0" applyFont="1" applyFill="1" applyBorder="1" applyAlignment="1"/>
    <xf numFmtId="0" fontId="6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/>
    </xf>
    <xf numFmtId="2" fontId="17" fillId="0" borderId="17" xfId="0" applyNumberFormat="1" applyFont="1" applyBorder="1" applyAlignment="1">
      <alignment wrapText="1"/>
    </xf>
    <xf numFmtId="2" fontId="16" fillId="0" borderId="0" xfId="0" applyNumberFormat="1" applyFont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/>
    </xf>
    <xf numFmtId="4" fontId="3" fillId="4" borderId="7" xfId="1" applyNumberFormat="1" applyFont="1" applyFill="1" applyBorder="1" applyAlignment="1">
      <alignment horizontal="center"/>
    </xf>
    <xf numFmtId="4" fontId="3" fillId="5" borderId="0" xfId="1" applyNumberFormat="1" applyFont="1" applyFill="1" applyBorder="1" applyAlignment="1">
      <alignment horizontal="center"/>
    </xf>
    <xf numFmtId="0" fontId="20" fillId="5" borderId="0" xfId="0" applyFont="1" applyFill="1" applyBorder="1" applyAlignment="1">
      <alignment horizontal="right"/>
    </xf>
    <xf numFmtId="0" fontId="6" fillId="5" borderId="0" xfId="0" applyFont="1" applyFill="1" applyBorder="1" applyAlignment="1">
      <alignment horizontal="right"/>
    </xf>
    <xf numFmtId="0" fontId="41" fillId="5" borderId="0" xfId="0" applyFont="1" applyFill="1" applyBorder="1" applyAlignment="1">
      <alignment horizontal="left"/>
    </xf>
    <xf numFmtId="0" fontId="3" fillId="5" borderId="2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5" fillId="5" borderId="0" xfId="0" applyFont="1" applyFill="1" applyBorder="1" applyAlignment="1"/>
    <xf numFmtId="0" fontId="6" fillId="5" borderId="0" xfId="0" applyFont="1" applyFill="1" applyBorder="1"/>
    <xf numFmtId="0" fontId="7" fillId="5" borderId="0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left"/>
    </xf>
    <xf numFmtId="0" fontId="0" fillId="5" borderId="0" xfId="0" applyFill="1" applyBorder="1" applyAlignment="1">
      <alignment horizontal="center"/>
    </xf>
    <xf numFmtId="0" fontId="6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0" fontId="0" fillId="5" borderId="0" xfId="0" applyFill="1" applyBorder="1" applyAlignment="1">
      <alignment horizontal="left"/>
    </xf>
    <xf numFmtId="0" fontId="6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/>
    <xf numFmtId="0" fontId="3" fillId="5" borderId="0" xfId="0" applyFont="1" applyFill="1" applyBorder="1" applyAlignment="1">
      <alignment horizontal="right"/>
    </xf>
    <xf numFmtId="0" fontId="8" fillId="5" borderId="0" xfId="0" applyFont="1" applyFill="1" applyBorder="1" applyAlignment="1">
      <alignment horizontal="right"/>
    </xf>
    <xf numFmtId="0" fontId="8" fillId="5" borderId="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5" fillId="5" borderId="0" xfId="0" applyFont="1" applyFill="1" applyBorder="1"/>
    <xf numFmtId="0" fontId="10" fillId="5" borderId="0" xfId="0" applyFont="1" applyFill="1" applyBorder="1"/>
    <xf numFmtId="4" fontId="3" fillId="5" borderId="0" xfId="0" applyNumberFormat="1" applyFont="1" applyFill="1" applyBorder="1" applyAlignment="1">
      <alignment horizontal="left"/>
    </xf>
    <xf numFmtId="0" fontId="3" fillId="5" borderId="13" xfId="0" applyFont="1" applyFill="1" applyBorder="1" applyAlignment="1"/>
    <xf numFmtId="2" fontId="11" fillId="5" borderId="0" xfId="0" applyNumberFormat="1" applyFont="1" applyFill="1" applyBorder="1" applyProtection="1">
      <protection locked="0"/>
    </xf>
    <xf numFmtId="2" fontId="13" fillId="5" borderId="0" xfId="0" applyNumberFormat="1" applyFont="1" applyFill="1" applyBorder="1" applyProtection="1">
      <protection locked="0"/>
    </xf>
    <xf numFmtId="43" fontId="2" fillId="5" borderId="0" xfId="1" applyFont="1" applyFill="1" applyBorder="1"/>
    <xf numFmtId="0" fontId="0" fillId="5" borderId="0" xfId="0" applyFont="1" applyFill="1" applyBorder="1" applyAlignment="1">
      <alignment horizontal="left"/>
    </xf>
    <xf numFmtId="0" fontId="19" fillId="5" borderId="0" xfId="0" applyFont="1" applyFill="1" applyBorder="1" applyAlignment="1">
      <alignment horizontal="right"/>
    </xf>
    <xf numFmtId="0" fontId="0" fillId="5" borderId="13" xfId="0" applyFont="1" applyFill="1" applyBorder="1" applyAlignment="1">
      <alignment horizontal="left"/>
    </xf>
    <xf numFmtId="0" fontId="9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right"/>
    </xf>
    <xf numFmtId="2" fontId="11" fillId="5" borderId="0" xfId="0" applyNumberFormat="1" applyFont="1" applyFill="1" applyBorder="1"/>
    <xf numFmtId="2" fontId="0" fillId="5" borderId="0" xfId="0" applyNumberFormat="1" applyFont="1" applyFill="1" applyBorder="1"/>
    <xf numFmtId="2" fontId="0" fillId="5" borderId="13" xfId="0" applyNumberFormat="1" applyFont="1" applyFill="1" applyBorder="1"/>
    <xf numFmtId="0" fontId="5" fillId="5" borderId="2" xfId="0" applyFont="1" applyFill="1" applyBorder="1"/>
    <xf numFmtId="0" fontId="0" fillId="5" borderId="0" xfId="0" applyFill="1" applyBorder="1" applyAlignment="1"/>
    <xf numFmtId="0" fontId="3" fillId="5" borderId="0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13" fillId="5" borderId="0" xfId="0" applyFont="1" applyFill="1" applyBorder="1" applyAlignment="1"/>
    <xf numFmtId="164" fontId="0" fillId="5" borderId="0" xfId="1" applyNumberFormat="1" applyFont="1" applyFill="1" applyBorder="1" applyAlignment="1"/>
    <xf numFmtId="0" fontId="3" fillId="5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left"/>
    </xf>
    <xf numFmtId="2" fontId="13" fillId="5" borderId="0" xfId="0" applyNumberFormat="1" applyFont="1" applyFill="1" applyBorder="1" applyAlignment="1"/>
    <xf numFmtId="0" fontId="4" fillId="5" borderId="0" xfId="0" applyFont="1" applyFill="1" applyBorder="1" applyAlignment="1"/>
    <xf numFmtId="0" fontId="13" fillId="5" borderId="13" xfId="0" applyFont="1" applyFill="1" applyBorder="1" applyAlignment="1"/>
    <xf numFmtId="0" fontId="8" fillId="5" borderId="0" xfId="0" applyFont="1" applyFill="1" applyBorder="1"/>
    <xf numFmtId="0" fontId="16" fillId="5" borderId="0" xfId="0" applyFont="1" applyFill="1" applyBorder="1" applyAlignment="1">
      <alignment horizontal="left" vertical="top"/>
    </xf>
    <xf numFmtId="0" fontId="12" fillId="5" borderId="0" xfId="0" applyFont="1" applyFill="1" applyBorder="1" applyAlignment="1" applyProtection="1">
      <alignment horizontal="center" vertical="top"/>
      <protection locked="0"/>
    </xf>
    <xf numFmtId="0" fontId="12" fillId="5" borderId="0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0" borderId="0" xfId="0" applyFont="1" applyBorder="1" applyAlignment="1">
      <alignment vertical="center"/>
    </xf>
    <xf numFmtId="2" fontId="3" fillId="3" borderId="0" xfId="0" applyNumberFormat="1" applyFont="1" applyFill="1" applyAlignment="1">
      <alignment horizontal="left" vertical="center"/>
    </xf>
    <xf numFmtId="2" fontId="3" fillId="4" borderId="7" xfId="0" applyNumberFormat="1" applyFont="1" applyFill="1" applyBorder="1" applyAlignment="1">
      <alignment horizontal="center" vertical="center"/>
    </xf>
    <xf numFmtId="4" fontId="0" fillId="5" borderId="0" xfId="0" applyNumberFormat="1" applyFill="1" applyBorder="1" applyAlignment="1">
      <alignment horizontal="center"/>
    </xf>
    <xf numFmtId="0" fontId="9" fillId="5" borderId="4" xfId="0" applyFont="1" applyFill="1" applyBorder="1" applyAlignment="1">
      <alignment horizontal="left"/>
    </xf>
    <xf numFmtId="0" fontId="2" fillId="5" borderId="0" xfId="0" applyFont="1" applyFill="1" applyBorder="1"/>
    <xf numFmtId="0" fontId="0" fillId="5" borderId="5" xfId="0" applyFill="1" applyBorder="1" applyAlignment="1">
      <alignment vertic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 applyProtection="1">
      <alignment horizontal="center"/>
      <protection locked="0"/>
    </xf>
    <xf numFmtId="0" fontId="6" fillId="5" borderId="0" xfId="0" applyFont="1" applyFill="1" applyBorder="1" applyAlignment="1" applyProtection="1">
      <alignment horizontal="center" vertical="center"/>
      <protection locked="0"/>
    </xf>
    <xf numFmtId="1" fontId="3" fillId="5" borderId="0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vertical="top"/>
    </xf>
    <xf numFmtId="0" fontId="8" fillId="4" borderId="0" xfId="0" applyFont="1" applyFill="1" applyBorder="1" applyAlignment="1">
      <alignment vertical="top"/>
    </xf>
    <xf numFmtId="2" fontId="3" fillId="6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0" fontId="9" fillId="4" borderId="7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9" fillId="4" borderId="1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4" fontId="3" fillId="5" borderId="0" xfId="0" applyNumberFormat="1" applyFont="1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2" fontId="0" fillId="5" borderId="0" xfId="0" applyNumberFormat="1" applyFill="1" applyBorder="1" applyAlignment="1">
      <alignment vertical="center"/>
    </xf>
    <xf numFmtId="0" fontId="9" fillId="5" borderId="0" xfId="0" applyFont="1" applyFill="1" applyBorder="1" applyAlignment="1">
      <alignment horizontal="center" vertical="center"/>
    </xf>
    <xf numFmtId="43" fontId="0" fillId="5" borderId="0" xfId="1" applyFont="1" applyFill="1" applyBorder="1" applyAlignment="1">
      <alignment vertical="center"/>
    </xf>
    <xf numFmtId="0" fontId="0" fillId="5" borderId="0" xfId="0" applyFont="1" applyFill="1" applyBorder="1" applyAlignment="1">
      <alignment horizontal="center" vertical="center"/>
    </xf>
    <xf numFmtId="43" fontId="0" fillId="5" borderId="0" xfId="0" applyNumberFormat="1" applyFill="1" applyBorder="1" applyAlignment="1">
      <alignment vertical="center"/>
    </xf>
    <xf numFmtId="2" fontId="11" fillId="3" borderId="12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2" fontId="11" fillId="3" borderId="15" xfId="0" applyNumberFormat="1" applyFont="1" applyFill="1" applyBorder="1" applyAlignment="1" applyProtection="1">
      <alignment horizontal="center" vertical="center"/>
      <protection locked="0"/>
    </xf>
    <xf numFmtId="2" fontId="1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>
      <alignment vertical="center"/>
    </xf>
    <xf numFmtId="2" fontId="12" fillId="5" borderId="13" xfId="0" quotePrefix="1" applyNumberFormat="1" applyFont="1" applyFill="1" applyBorder="1" applyAlignment="1">
      <alignment horizontal="center" vertical="center" wrapText="1"/>
    </xf>
    <xf numFmtId="164" fontId="12" fillId="5" borderId="13" xfId="1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/>
    </xf>
    <xf numFmtId="2" fontId="0" fillId="3" borderId="7" xfId="0" applyNumberFormat="1" applyFill="1" applyBorder="1" applyAlignment="1" applyProtection="1">
      <alignment vertical="center"/>
      <protection locked="0"/>
    </xf>
    <xf numFmtId="43" fontId="3" fillId="4" borderId="7" xfId="1" applyFont="1" applyFill="1" applyBorder="1" applyAlignment="1">
      <alignment vertical="center"/>
    </xf>
    <xf numFmtId="2" fontId="3" fillId="4" borderId="7" xfId="0" applyNumberFormat="1" applyFont="1" applyFill="1" applyBorder="1" applyAlignment="1">
      <alignment vertical="center"/>
    </xf>
    <xf numFmtId="43" fontId="3" fillId="4" borderId="24" xfId="1" applyFont="1" applyFill="1" applyBorder="1" applyAlignment="1">
      <alignment horizontal="center" vertical="center"/>
    </xf>
    <xf numFmtId="0" fontId="21" fillId="5" borderId="0" xfId="0" applyFont="1" applyFill="1" applyBorder="1" applyAlignment="1"/>
    <xf numFmtId="164" fontId="3" fillId="5" borderId="0" xfId="1" applyNumberFormat="1" applyFont="1" applyFill="1" applyBorder="1" applyAlignment="1">
      <alignment vertical="center"/>
    </xf>
    <xf numFmtId="0" fontId="0" fillId="3" borderId="0" xfId="0" applyFont="1" applyFill="1"/>
    <xf numFmtId="0" fontId="0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right"/>
    </xf>
    <xf numFmtId="2" fontId="0" fillId="3" borderId="0" xfId="0" applyNumberFormat="1" applyFont="1" applyFill="1"/>
    <xf numFmtId="167" fontId="0" fillId="3" borderId="0" xfId="0" applyNumberFormat="1" applyFont="1" applyFill="1"/>
    <xf numFmtId="168" fontId="0" fillId="3" borderId="0" xfId="0" applyNumberFormat="1" applyFont="1" applyFill="1"/>
    <xf numFmtId="0" fontId="3" fillId="3" borderId="0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/>
    </xf>
    <xf numFmtId="0" fontId="0" fillId="5" borderId="0" xfId="0" applyFill="1"/>
    <xf numFmtId="0" fontId="6" fillId="5" borderId="1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left"/>
    </xf>
    <xf numFmtId="0" fontId="12" fillId="5" borderId="0" xfId="0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>
      <alignment horizontal="center"/>
    </xf>
    <xf numFmtId="43" fontId="3" fillId="5" borderId="0" xfId="1" applyFont="1" applyFill="1" applyBorder="1" applyAlignment="1">
      <alignment vertical="center"/>
    </xf>
    <xf numFmtId="2" fontId="0" fillId="5" borderId="0" xfId="0" applyNumberFormat="1" applyFill="1" applyBorder="1" applyAlignment="1" applyProtection="1">
      <alignment vertical="center"/>
      <protection locked="0"/>
    </xf>
    <xf numFmtId="2" fontId="11" fillId="5" borderId="0" xfId="0" applyNumberFormat="1" applyFont="1" applyFill="1" applyBorder="1" applyAlignment="1" applyProtection="1">
      <alignment horizontal="center" vertical="center"/>
      <protection locked="0"/>
    </xf>
    <xf numFmtId="164" fontId="6" fillId="5" borderId="0" xfId="1" applyNumberFormat="1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43" fontId="12" fillId="5" borderId="0" xfId="1" applyFont="1" applyFill="1" applyBorder="1" applyAlignment="1">
      <alignment horizontal="center" vertical="center"/>
    </xf>
    <xf numFmtId="2" fontId="12" fillId="5" borderId="0" xfId="0" quotePrefix="1" applyNumberFormat="1" applyFont="1" applyFill="1" applyBorder="1" applyAlignment="1">
      <alignment horizontal="center" vertical="center"/>
    </xf>
    <xf numFmtId="2" fontId="11" fillId="3" borderId="6" xfId="0" applyNumberFormat="1" applyFont="1" applyFill="1" applyBorder="1" applyAlignment="1" applyProtection="1">
      <alignment horizontal="center"/>
      <protection locked="0"/>
    </xf>
    <xf numFmtId="2" fontId="11" fillId="3" borderId="7" xfId="0" applyNumberFormat="1" applyFont="1" applyFill="1" applyBorder="1" applyAlignment="1" applyProtection="1">
      <alignment horizontal="center"/>
      <protection locked="0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4" xfId="0" quotePrefix="1" applyFill="1" applyBorder="1" applyAlignment="1">
      <alignment horizontal="right" vertical="center"/>
    </xf>
    <xf numFmtId="0" fontId="0" fillId="4" borderId="4" xfId="0" quotePrefix="1" applyFont="1" applyFill="1" applyBorder="1" applyAlignment="1">
      <alignment horizontal="right" vertical="center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0" fillId="4" borderId="0" xfId="0" quotePrefix="1" applyFill="1" applyBorder="1" applyAlignment="1">
      <alignment horizontal="right" vertical="center"/>
    </xf>
    <xf numFmtId="0" fontId="0" fillId="4" borderId="0" xfId="0" quotePrefix="1" applyFont="1" applyFill="1" applyBorder="1" applyAlignment="1">
      <alignment horizontal="right" vertical="center"/>
    </xf>
    <xf numFmtId="0" fontId="6" fillId="5" borderId="0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5" borderId="4" xfId="0" applyFill="1" applyBorder="1" applyAlignment="1"/>
    <xf numFmtId="0" fontId="0" fillId="4" borderId="4" xfId="0" applyFill="1" applyBorder="1" applyAlignment="1"/>
    <xf numFmtId="0" fontId="2" fillId="4" borderId="5" xfId="0" applyFont="1" applyFill="1" applyBorder="1"/>
    <xf numFmtId="0" fontId="9" fillId="4" borderId="5" xfId="0" applyFont="1" applyFill="1" applyBorder="1"/>
    <xf numFmtId="0" fontId="0" fillId="4" borderId="0" xfId="0" applyFill="1" applyBorder="1" applyAlignment="1"/>
    <xf numFmtId="0" fontId="3" fillId="5" borderId="12" xfId="0" applyFont="1" applyFill="1" applyBorder="1" applyAlignment="1">
      <alignment horizontal="center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/>
      <protection locked="0"/>
    </xf>
    <xf numFmtId="0" fontId="9" fillId="5" borderId="0" xfId="0" applyFont="1" applyFill="1" applyBorder="1" applyAlignment="1"/>
    <xf numFmtId="164" fontId="3" fillId="4" borderId="7" xfId="1" applyNumberFormat="1" applyFont="1" applyFill="1" applyBorder="1" applyAlignment="1"/>
    <xf numFmtId="0" fontId="12" fillId="5" borderId="12" xfId="0" applyFont="1" applyFill="1" applyBorder="1" applyAlignment="1">
      <alignment horizontal="center" vertical="top"/>
    </xf>
    <xf numFmtId="0" fontId="12" fillId="4" borderId="8" xfId="0" applyFont="1" applyFill="1" applyBorder="1" applyAlignment="1"/>
    <xf numFmtId="0" fontId="0" fillId="2" borderId="0" xfId="0" applyFont="1" applyFill="1"/>
    <xf numFmtId="0" fontId="9" fillId="4" borderId="13" xfId="0" applyFont="1" applyFill="1" applyBorder="1"/>
    <xf numFmtId="0" fontId="9" fillId="5" borderId="0" xfId="0" applyFont="1" applyFill="1" applyBorder="1" applyAlignment="1" applyProtection="1">
      <alignment vertical="center"/>
      <protection locked="0"/>
    </xf>
    <xf numFmtId="2" fontId="12" fillId="4" borderId="12" xfId="0" applyNumberFormat="1" applyFont="1" applyFill="1" applyBorder="1" applyAlignment="1">
      <alignment horizontal="center" vertical="center"/>
    </xf>
    <xf numFmtId="2" fontId="12" fillId="4" borderId="7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43" fontId="23" fillId="0" borderId="0" xfId="0" applyNumberFormat="1" applyFont="1" applyBorder="1" applyAlignment="1">
      <alignment horizontal="center" vertical="center"/>
    </xf>
    <xf numFmtId="164" fontId="0" fillId="4" borderId="7" xfId="1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vertical="center"/>
    </xf>
    <xf numFmtId="164" fontId="0" fillId="5" borderId="0" xfId="1" applyNumberFormat="1" applyFont="1" applyFill="1" applyBorder="1" applyAlignment="1">
      <alignment horizontal="center" vertical="center"/>
    </xf>
    <xf numFmtId="0" fontId="0" fillId="5" borderId="0" xfId="0" quotePrefix="1" applyFont="1" applyFill="1" applyBorder="1" applyAlignment="1">
      <alignment horizontal="right" vertical="center"/>
    </xf>
    <xf numFmtId="0" fontId="0" fillId="4" borderId="0" xfId="0" applyFill="1" applyAlignment="1">
      <alignment vertical="center"/>
    </xf>
    <xf numFmtId="0" fontId="12" fillId="4" borderId="12" xfId="0" applyFont="1" applyFill="1" applyBorder="1" applyAlignment="1"/>
    <xf numFmtId="0" fontId="12" fillId="4" borderId="4" xfId="0" applyFont="1" applyFill="1" applyBorder="1" applyAlignment="1"/>
    <xf numFmtId="0" fontId="12" fillId="0" borderId="0" xfId="0" applyFont="1"/>
    <xf numFmtId="2" fontId="12" fillId="0" borderId="0" xfId="0" applyNumberFormat="1" applyFont="1" applyBorder="1" applyAlignment="1" applyProtection="1">
      <alignment vertical="center"/>
    </xf>
    <xf numFmtId="43" fontId="12" fillId="0" borderId="0" xfId="1" applyFont="1" applyFill="1" applyBorder="1" applyAlignment="1">
      <alignment horizontal="center" vertical="center"/>
    </xf>
    <xf numFmtId="2" fontId="12" fillId="0" borderId="0" xfId="0" quotePrefix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0" fontId="17" fillId="0" borderId="0" xfId="0" applyFont="1" applyFill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20" xfId="0" applyFont="1" applyFill="1" applyBorder="1" applyAlignment="1"/>
    <xf numFmtId="2" fontId="12" fillId="0" borderId="17" xfId="0" applyNumberFormat="1" applyFont="1" applyBorder="1" applyAlignment="1">
      <alignment vertical="center"/>
    </xf>
    <xf numFmtId="0" fontId="0" fillId="0" borderId="27" xfId="0" applyBorder="1" applyAlignment="1"/>
    <xf numFmtId="0" fontId="12" fillId="0" borderId="0" xfId="0" applyFont="1" applyBorder="1"/>
    <xf numFmtId="0" fontId="35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2" fontId="16" fillId="0" borderId="21" xfId="0" applyNumberFormat="1" applyFont="1" applyBorder="1" applyAlignment="1">
      <alignment vertical="center" wrapText="1"/>
    </xf>
    <xf numFmtId="2" fontId="16" fillId="0" borderId="22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vertical="center"/>
    </xf>
    <xf numFmtId="3" fontId="17" fillId="0" borderId="0" xfId="0" quotePrefix="1" applyNumberFormat="1" applyFont="1" applyBorder="1" applyAlignment="1">
      <alignment horizontal="left" wrapText="1"/>
    </xf>
    <xf numFmtId="2" fontId="17" fillId="0" borderId="0" xfId="0" applyNumberFormat="1" applyFont="1" applyBorder="1" applyAlignment="1">
      <alignment wrapText="1"/>
    </xf>
    <xf numFmtId="0" fontId="35" fillId="0" borderId="16" xfId="0" applyFont="1" applyBorder="1" applyAlignment="1">
      <alignment vertical="center"/>
    </xf>
    <xf numFmtId="2" fontId="12" fillId="0" borderId="17" xfId="0" applyNumberFormat="1" applyFont="1" applyBorder="1" applyAlignment="1">
      <alignment vertical="center" wrapText="1"/>
    </xf>
    <xf numFmtId="0" fontId="16" fillId="0" borderId="28" xfId="0" applyFont="1" applyBorder="1"/>
    <xf numFmtId="0" fontId="16" fillId="0" borderId="19" xfId="0" applyFont="1" applyBorder="1" applyAlignment="1"/>
    <xf numFmtId="0" fontId="40" fillId="0" borderId="21" xfId="0" applyFont="1" applyBorder="1" applyAlignment="1">
      <alignment vertical="center"/>
    </xf>
    <xf numFmtId="7" fontId="40" fillId="0" borderId="21" xfId="0" applyNumberFormat="1" applyFont="1" applyBorder="1" applyAlignment="1">
      <alignment vertical="center"/>
    </xf>
    <xf numFmtId="2" fontId="16" fillId="0" borderId="21" xfId="1" applyNumberFormat="1" applyFont="1" applyBorder="1" applyAlignment="1">
      <alignment vertical="center" wrapText="1"/>
    </xf>
    <xf numFmtId="8" fontId="16" fillId="0" borderId="21" xfId="0" applyNumberFormat="1" applyFont="1" applyBorder="1" applyAlignment="1">
      <alignment vertical="center"/>
    </xf>
    <xf numFmtId="0" fontId="16" fillId="0" borderId="22" xfId="0" applyFont="1" applyBorder="1"/>
    <xf numFmtId="0" fontId="15" fillId="0" borderId="0" xfId="0" applyFont="1" applyFill="1" applyBorder="1" applyAlignment="1" applyProtection="1">
      <alignment vertical="center"/>
    </xf>
    <xf numFmtId="3" fontId="16" fillId="0" borderId="0" xfId="0" quotePrefix="1" applyNumberFormat="1" applyFont="1" applyBorder="1" applyAlignment="1">
      <alignment horizontal="center" vertical="center" wrapText="1"/>
    </xf>
    <xf numFmtId="2" fontId="16" fillId="0" borderId="0" xfId="0" quotePrefix="1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3" fillId="0" borderId="21" xfId="0" applyFont="1" applyFill="1" applyBorder="1"/>
    <xf numFmtId="0" fontId="17" fillId="0" borderId="0" xfId="0" applyFont="1" applyFill="1" applyBorder="1"/>
    <xf numFmtId="0" fontId="43" fillId="0" borderId="0" xfId="0" applyFont="1" applyBorder="1" applyAlignment="1" applyProtection="1">
      <alignment vertical="center" wrapText="1"/>
    </xf>
    <xf numFmtId="0" fontId="12" fillId="0" borderId="20" xfId="0" applyFont="1" applyFill="1" applyBorder="1" applyAlignment="1">
      <alignment vertical="center"/>
    </xf>
    <xf numFmtId="0" fontId="0" fillId="0" borderId="17" xfId="0" applyBorder="1"/>
    <xf numFmtId="0" fontId="3" fillId="0" borderId="21" xfId="0" applyFont="1" applyFill="1" applyBorder="1" applyAlignment="1"/>
    <xf numFmtId="0" fontId="39" fillId="0" borderId="22" xfId="0" applyFont="1" applyBorder="1" applyAlignment="1">
      <alignment vertical="center" wrapText="1"/>
    </xf>
    <xf numFmtId="0" fontId="0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 wrapText="1"/>
    </xf>
    <xf numFmtId="0" fontId="37" fillId="0" borderId="21" xfId="0" applyFont="1" applyBorder="1" applyAlignment="1">
      <alignment vertical="center"/>
    </xf>
    <xf numFmtId="0" fontId="0" fillId="0" borderId="21" xfId="0" applyBorder="1"/>
    <xf numFmtId="0" fontId="0" fillId="0" borderId="21" xfId="0" applyFont="1" applyBorder="1"/>
    <xf numFmtId="0" fontId="12" fillId="3" borderId="23" xfId="0" applyFont="1" applyFill="1" applyBorder="1" applyAlignment="1" applyProtection="1">
      <alignment horizontal="left" vertical="center"/>
    </xf>
    <xf numFmtId="0" fontId="12" fillId="3" borderId="25" xfId="0" applyFont="1" applyFill="1" applyBorder="1" applyAlignment="1" applyProtection="1">
      <alignment horizontal="left" vertical="center"/>
    </xf>
    <xf numFmtId="0" fontId="12" fillId="3" borderId="26" xfId="0" applyFont="1" applyFill="1" applyBorder="1" applyAlignment="1" applyProtection="1">
      <alignment horizontal="left" vertical="center"/>
    </xf>
    <xf numFmtId="0" fontId="12" fillId="3" borderId="20" xfId="0" applyFont="1" applyFill="1" applyBorder="1" applyAlignment="1" applyProtection="1">
      <alignment vertical="center"/>
    </xf>
    <xf numFmtId="0" fontId="12" fillId="0" borderId="16" xfId="0" applyFont="1" applyFill="1" applyBorder="1" applyAlignment="1" applyProtection="1">
      <alignment vertical="center"/>
    </xf>
    <xf numFmtId="0" fontId="12" fillId="0" borderId="23" xfId="0" applyFont="1" applyFill="1" applyBorder="1" applyAlignment="1" applyProtection="1">
      <alignment vertical="center"/>
    </xf>
    <xf numFmtId="0" fontId="12" fillId="0" borderId="25" xfId="0" applyFont="1" applyFill="1" applyBorder="1" applyAlignment="1" applyProtection="1">
      <alignment vertical="center"/>
    </xf>
    <xf numFmtId="0" fontId="3" fillId="0" borderId="0" xfId="0" applyFont="1" applyBorder="1" applyAlignment="1">
      <alignment vertical="center" wrapText="1"/>
    </xf>
    <xf numFmtId="0" fontId="3" fillId="5" borderId="4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/>
    </xf>
    <xf numFmtId="0" fontId="9" fillId="2" borderId="0" xfId="0" applyFont="1" applyFill="1"/>
    <xf numFmtId="0" fontId="0" fillId="0" borderId="0" xfId="0" applyFont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0" fillId="0" borderId="2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2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2" fillId="3" borderId="23" xfId="0" applyFont="1" applyFill="1" applyBorder="1" applyAlignment="1" applyProtection="1">
      <alignment vertical="center"/>
    </xf>
    <xf numFmtId="0" fontId="12" fillId="3" borderId="25" xfId="0" applyFont="1" applyFill="1" applyBorder="1" applyAlignment="1" applyProtection="1">
      <alignment vertical="center"/>
    </xf>
    <xf numFmtId="0" fontId="12" fillId="3" borderId="26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vertical="center"/>
    </xf>
    <xf numFmtId="0" fontId="16" fillId="0" borderId="17" xfId="0" applyFont="1" applyFill="1" applyBorder="1" applyAlignment="1" applyProtection="1">
      <alignment vertical="center"/>
    </xf>
    <xf numFmtId="0" fontId="16" fillId="0" borderId="18" xfId="0" applyFont="1" applyFill="1" applyBorder="1" applyAlignment="1" applyProtection="1">
      <alignment vertical="center"/>
    </xf>
    <xf numFmtId="0" fontId="16" fillId="3" borderId="26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6" fillId="3" borderId="28" xfId="0" applyFont="1" applyFill="1" applyBorder="1" applyAlignment="1" applyProtection="1">
      <alignment vertical="center"/>
    </xf>
    <xf numFmtId="0" fontId="16" fillId="0" borderId="22" xfId="0" applyFont="1" applyFill="1" applyBorder="1" applyAlignment="1">
      <alignment horizontal="left"/>
    </xf>
    <xf numFmtId="0" fontId="9" fillId="5" borderId="0" xfId="0" applyFont="1" applyFill="1" applyBorder="1" applyAlignment="1" applyProtection="1">
      <alignment horizontal="right" vertical="center"/>
      <protection locked="0"/>
    </xf>
    <xf numFmtId="0" fontId="3" fillId="5" borderId="0" xfId="0" applyFont="1" applyFill="1" applyBorder="1" applyAlignment="1" applyProtection="1">
      <alignment vertical="center"/>
      <protection locked="0"/>
    </xf>
    <xf numFmtId="0" fontId="5" fillId="2" borderId="0" xfId="0" applyFont="1" applyFill="1" applyAlignment="1"/>
    <xf numFmtId="0" fontId="3" fillId="2" borderId="0" xfId="0" applyFont="1" applyFill="1" applyAlignment="1"/>
    <xf numFmtId="0" fontId="0" fillId="2" borderId="0" xfId="0" applyFill="1" applyBorder="1" applyAlignment="1"/>
    <xf numFmtId="0" fontId="3" fillId="5" borderId="2" xfId="0" applyFont="1" applyFill="1" applyBorder="1" applyAlignment="1"/>
    <xf numFmtId="0" fontId="12" fillId="5" borderId="0" xfId="0" applyFont="1" applyFill="1" applyBorder="1" applyAlignment="1"/>
    <xf numFmtId="0" fontId="3" fillId="2" borderId="0" xfId="0" applyFont="1" applyFill="1" applyBorder="1" applyAlignment="1"/>
    <xf numFmtId="0" fontId="3" fillId="2" borderId="13" xfId="0" applyFont="1" applyFill="1" applyBorder="1" applyAlignment="1"/>
    <xf numFmtId="4" fontId="3" fillId="5" borderId="0" xfId="0" applyNumberFormat="1" applyFont="1" applyFill="1" applyBorder="1" applyAlignment="1">
      <alignment vertical="center"/>
    </xf>
    <xf numFmtId="0" fontId="0" fillId="2" borderId="0" xfId="0" applyFill="1" applyAlignment="1"/>
    <xf numFmtId="0" fontId="0" fillId="0" borderId="0" xfId="0" applyFill="1" applyAlignment="1"/>
    <xf numFmtId="0" fontId="0" fillId="3" borderId="0" xfId="0" applyFill="1" applyAlignment="1"/>
    <xf numFmtId="0" fontId="3" fillId="5" borderId="15" xfId="0" applyFont="1" applyFill="1" applyBorder="1" applyAlignment="1">
      <alignment horizontal="center"/>
    </xf>
    <xf numFmtId="2" fontId="3" fillId="5" borderId="9" xfId="0" applyNumberFormat="1" applyFont="1" applyFill="1" applyBorder="1" applyAlignment="1">
      <alignment horizontal="center"/>
    </xf>
    <xf numFmtId="2" fontId="3" fillId="5" borderId="10" xfId="0" applyNumberFormat="1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 vertical="top"/>
    </xf>
    <xf numFmtId="0" fontId="3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2" fontId="6" fillId="5" borderId="9" xfId="0" applyNumberFormat="1" applyFont="1" applyFill="1" applyBorder="1" applyAlignment="1">
      <alignment horizontal="center"/>
    </xf>
    <xf numFmtId="2" fontId="6" fillId="5" borderId="10" xfId="0" applyNumberFormat="1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3" fillId="5" borderId="10" xfId="0" applyFont="1" applyFill="1" applyBorder="1"/>
    <xf numFmtId="2" fontId="3" fillId="5" borderId="10" xfId="0" applyNumberFormat="1" applyFont="1" applyFill="1" applyBorder="1" applyAlignment="1">
      <alignment horizontal="center" vertical="center"/>
    </xf>
    <xf numFmtId="0" fontId="3" fillId="5" borderId="0" xfId="0" applyFont="1" applyFill="1"/>
    <xf numFmtId="0" fontId="9" fillId="5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4" xfId="0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/>
    </xf>
    <xf numFmtId="0" fontId="0" fillId="5" borderId="12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0" fillId="5" borderId="12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0" fillId="5" borderId="13" xfId="0" applyFill="1" applyBorder="1" applyAlignment="1"/>
    <xf numFmtId="43" fontId="3" fillId="4" borderId="7" xfId="1" applyFont="1" applyFill="1" applyBorder="1"/>
    <xf numFmtId="0" fontId="45" fillId="5" borderId="0" xfId="0" applyFont="1" applyFill="1" applyBorder="1" applyAlignment="1">
      <alignment horizontal="left"/>
    </xf>
    <xf numFmtId="0" fontId="45" fillId="5" borderId="0" xfId="0" applyFont="1" applyFill="1" applyBorder="1" applyAlignment="1">
      <alignment horizontal="right"/>
    </xf>
    <xf numFmtId="0" fontId="45" fillId="5" borderId="0" xfId="0" applyFont="1" applyFill="1" applyBorder="1" applyAlignment="1">
      <alignment horizontal="center"/>
    </xf>
    <xf numFmtId="4" fontId="45" fillId="5" borderId="0" xfId="1" applyNumberFormat="1" applyFont="1" applyFill="1" applyBorder="1" applyAlignment="1">
      <alignment horizontal="center"/>
    </xf>
    <xf numFmtId="0" fontId="45" fillId="5" borderId="0" xfId="0" applyFont="1" applyFill="1" applyBorder="1"/>
    <xf numFmtId="0" fontId="0" fillId="0" borderId="0" xfId="0" applyAlignment="1">
      <alignment vertical="top"/>
    </xf>
    <xf numFmtId="0" fontId="3" fillId="4" borderId="4" xfId="0" applyFont="1" applyFill="1" applyBorder="1" applyAlignment="1">
      <alignment horizontal="left"/>
    </xf>
    <xf numFmtId="0" fontId="0" fillId="4" borderId="2" xfId="0" applyFill="1" applyBorder="1" applyAlignment="1"/>
    <xf numFmtId="0" fontId="6" fillId="4" borderId="0" xfId="0" applyFont="1" applyFill="1" applyBorder="1" applyAlignment="1"/>
    <xf numFmtId="0" fontId="0" fillId="5" borderId="1" xfId="0" applyFill="1" applyBorder="1" applyAlignment="1"/>
    <xf numFmtId="0" fontId="3" fillId="5" borderId="4" xfId="0" applyFont="1" applyFill="1" applyBorder="1" applyAlignment="1"/>
    <xf numFmtId="0" fontId="0" fillId="5" borderId="4" xfId="0" quotePrefix="1" applyFill="1" applyBorder="1" applyAlignment="1"/>
    <xf numFmtId="0" fontId="0" fillId="4" borderId="13" xfId="0" applyFill="1" applyBorder="1" applyAlignment="1"/>
    <xf numFmtId="0" fontId="0" fillId="4" borderId="0" xfId="0" quotePrefix="1" applyFill="1" applyBorder="1" applyAlignment="1">
      <alignment vertical="center"/>
    </xf>
    <xf numFmtId="0" fontId="0" fillId="4" borderId="0" xfId="0" quotePrefix="1" applyFont="1" applyFill="1" applyBorder="1" applyAlignment="1">
      <alignment vertical="center"/>
    </xf>
    <xf numFmtId="0" fontId="0" fillId="0" borderId="0" xfId="0" applyFill="1" applyAlignment="1">
      <alignment horizontal="left"/>
    </xf>
    <xf numFmtId="49" fontId="6" fillId="2" borderId="0" xfId="0" applyNumberFormat="1" applyFont="1" applyFill="1" applyBorder="1" applyAlignment="1" applyProtection="1">
      <protection locked="0"/>
    </xf>
    <xf numFmtId="43" fontId="3" fillId="4" borderId="24" xfId="1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 vertical="center"/>
    </xf>
    <xf numFmtId="164" fontId="15" fillId="5" borderId="13" xfId="1" applyNumberFormat="1" applyFont="1" applyFill="1" applyBorder="1" applyAlignment="1">
      <alignment horizontal="center" vertical="center" wrapText="1"/>
    </xf>
    <xf numFmtId="2" fontId="11" fillId="5" borderId="13" xfId="0" applyNumberFormat="1" applyFont="1" applyFill="1" applyBorder="1" applyProtection="1">
      <protection locked="0"/>
    </xf>
    <xf numFmtId="164" fontId="9" fillId="5" borderId="0" xfId="1" applyNumberFormat="1" applyFont="1" applyFill="1" applyBorder="1" applyAlignment="1"/>
    <xf numFmtId="164" fontId="12" fillId="4" borderId="7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2" fontId="12" fillId="0" borderId="0" xfId="0" applyNumberFormat="1" applyFont="1" applyBorder="1" applyAlignment="1">
      <alignment horizontal="left"/>
    </xf>
    <xf numFmtId="2" fontId="3" fillId="0" borderId="0" xfId="0" applyNumberFormat="1" applyFont="1" applyBorder="1" applyAlignment="1">
      <alignment horizontal="left"/>
    </xf>
    <xf numFmtId="2" fontId="16" fillId="0" borderId="0" xfId="0" quotePrefix="1" applyNumberFormat="1" applyFont="1" applyFill="1" applyBorder="1" applyAlignment="1">
      <alignment vertical="center" wrapText="1"/>
    </xf>
    <xf numFmtId="2" fontId="16" fillId="0" borderId="0" xfId="0" applyNumberFormat="1" applyFont="1" applyFill="1" applyBorder="1" applyAlignment="1">
      <alignment vertical="center" wrapText="1"/>
    </xf>
    <xf numFmtId="164" fontId="16" fillId="0" borderId="0" xfId="1" quotePrefix="1" applyNumberFormat="1" applyFont="1" applyFill="1" applyBorder="1" applyAlignment="1">
      <alignment vertical="center" wrapText="1"/>
    </xf>
    <xf numFmtId="1" fontId="16" fillId="0" borderId="0" xfId="0" applyNumberFormat="1" applyFont="1" applyFill="1" applyBorder="1" applyAlignment="1">
      <alignment vertical="center" wrapText="1"/>
    </xf>
    <xf numFmtId="1" fontId="16" fillId="0" borderId="0" xfId="0" quotePrefix="1" applyNumberFormat="1" applyFont="1" applyFill="1" applyBorder="1" applyAlignment="1">
      <alignment vertical="center" wrapText="1"/>
    </xf>
    <xf numFmtId="4" fontId="16" fillId="0" borderId="0" xfId="0" quotePrefix="1" applyNumberFormat="1" applyFont="1" applyFill="1" applyBorder="1" applyAlignment="1">
      <alignment vertical="center" wrapText="1"/>
    </xf>
    <xf numFmtId="164" fontId="16" fillId="0" borderId="0" xfId="1" applyNumberFormat="1" applyFont="1" applyFill="1" applyBorder="1" applyAlignment="1">
      <alignment vertical="center" wrapText="1"/>
    </xf>
    <xf numFmtId="3" fontId="16" fillId="0" borderId="0" xfId="0" quotePrefix="1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horizontal="left" vertical="center"/>
    </xf>
    <xf numFmtId="0" fontId="30" fillId="0" borderId="0" xfId="0" applyFont="1" applyFill="1" applyBorder="1" applyAlignment="1">
      <alignment vertical="center" wrapText="1"/>
    </xf>
    <xf numFmtId="2" fontId="1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43" fontId="3" fillId="4" borderId="7" xfId="0" applyNumberFormat="1" applyFont="1" applyFill="1" applyBorder="1"/>
    <xf numFmtId="0" fontId="16" fillId="0" borderId="0" xfId="0" applyFont="1" applyBorder="1" applyAlignment="1">
      <alignment horizontal="center" vertical="center"/>
    </xf>
    <xf numFmtId="43" fontId="23" fillId="0" borderId="0" xfId="0" applyNumberFormat="1" applyFont="1" applyBorder="1" applyAlignment="1">
      <alignment horizontal="center" vertical="center"/>
    </xf>
    <xf numFmtId="0" fontId="3" fillId="5" borderId="0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center" vertical="top"/>
    </xf>
    <xf numFmtId="0" fontId="16" fillId="0" borderId="0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left"/>
    </xf>
    <xf numFmtId="0" fontId="46" fillId="0" borderId="0" xfId="0" applyFont="1" applyBorder="1" applyAlignment="1">
      <alignment vertical="center" wrapText="1"/>
    </xf>
    <xf numFmtId="0" fontId="47" fillId="0" borderId="0" xfId="0" applyFont="1" applyBorder="1" applyAlignment="1">
      <alignment vertical="center" wrapText="1"/>
    </xf>
    <xf numFmtId="0" fontId="16" fillId="0" borderId="0" xfId="0" applyFont="1" applyFill="1" applyBorder="1"/>
    <xf numFmtId="0" fontId="3" fillId="5" borderId="10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5" borderId="0" xfId="0" applyFont="1" applyFill="1" applyBorder="1" applyAlignment="1"/>
    <xf numFmtId="0" fontId="3" fillId="5" borderId="0" xfId="0" quotePrefix="1" applyFont="1" applyFill="1" applyBorder="1" applyAlignment="1">
      <alignment vertical="center"/>
    </xf>
    <xf numFmtId="0" fontId="17" fillId="5" borderId="4" xfId="0" applyFont="1" applyFill="1" applyBorder="1" applyAlignment="1">
      <alignment horizontal="left"/>
    </xf>
    <xf numFmtId="0" fontId="0" fillId="5" borderId="12" xfId="0" quotePrefix="1" applyFill="1" applyBorder="1" applyAlignment="1">
      <alignment vertical="top"/>
    </xf>
    <xf numFmtId="0" fontId="3" fillId="5" borderId="13" xfId="0" applyFont="1" applyFill="1" applyBorder="1" applyAlignment="1">
      <alignment vertical="top"/>
    </xf>
    <xf numFmtId="2" fontId="6" fillId="5" borderId="15" xfId="0" applyNumberFormat="1" applyFont="1" applyFill="1" applyBorder="1" applyAlignment="1">
      <alignment horizontal="center" vertical="top"/>
    </xf>
    <xf numFmtId="2" fontId="3" fillId="5" borderId="15" xfId="0" applyNumberFormat="1" applyFont="1" applyFill="1" applyBorder="1" applyAlignment="1">
      <alignment horizontal="center" vertical="top"/>
    </xf>
    <xf numFmtId="2" fontId="3" fillId="5" borderId="1" xfId="0" applyNumberFormat="1" applyFont="1" applyFill="1" applyBorder="1" applyAlignment="1">
      <alignment horizontal="center"/>
    </xf>
    <xf numFmtId="2" fontId="3" fillId="5" borderId="4" xfId="0" applyNumberFormat="1" applyFont="1" applyFill="1" applyBorder="1" applyAlignment="1">
      <alignment horizontal="center"/>
    </xf>
    <xf numFmtId="2" fontId="3" fillId="5" borderId="12" xfId="0" applyNumberFormat="1" applyFont="1" applyFill="1" applyBorder="1" applyAlignment="1">
      <alignment horizontal="center" vertical="top"/>
    </xf>
    <xf numFmtId="0" fontId="6" fillId="2" borderId="0" xfId="0" applyFont="1" applyFill="1" applyBorder="1" applyAlignment="1" applyProtection="1">
      <protection locked="0"/>
    </xf>
    <xf numFmtId="0" fontId="32" fillId="0" borderId="0" xfId="0" applyFont="1" applyBorder="1" applyAlignment="1" applyProtection="1">
      <alignment vertical="center"/>
    </xf>
    <xf numFmtId="0" fontId="32" fillId="0" borderId="0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top"/>
    </xf>
    <xf numFmtId="0" fontId="32" fillId="0" borderId="0" xfId="0" applyFont="1" applyBorder="1" applyAlignment="1" applyProtection="1">
      <alignment vertical="top" wrapText="1"/>
    </xf>
    <xf numFmtId="0" fontId="3" fillId="5" borderId="0" xfId="0" applyFont="1" applyFill="1" applyBorder="1" applyAlignment="1">
      <alignment horizontal="left"/>
    </xf>
    <xf numFmtId="43" fontId="23" fillId="0" borderId="0" xfId="0" applyNumberFormat="1" applyFont="1" applyBorder="1" applyAlignment="1">
      <alignment horizontal="center" vertical="center"/>
    </xf>
    <xf numFmtId="2" fontId="12" fillId="3" borderId="0" xfId="0" quotePrefix="1" applyNumberFormat="1" applyFont="1" applyFill="1" applyBorder="1" applyAlignment="1" applyProtection="1">
      <alignment horizontal="left" vertical="center" wrapText="1"/>
    </xf>
    <xf numFmtId="0" fontId="40" fillId="0" borderId="0" xfId="0" applyFont="1" applyBorder="1" applyAlignment="1"/>
    <xf numFmtId="7" fontId="40" fillId="0" borderId="0" xfId="0" applyNumberFormat="1" applyFont="1" applyBorder="1" applyAlignment="1"/>
    <xf numFmtId="2" fontId="16" fillId="0" borderId="0" xfId="0" applyNumberFormat="1" applyFont="1" applyBorder="1" applyAlignment="1">
      <alignment wrapText="1"/>
    </xf>
    <xf numFmtId="2" fontId="16" fillId="0" borderId="0" xfId="1" applyNumberFormat="1" applyFont="1" applyBorder="1" applyAlignment="1">
      <alignment wrapText="1"/>
    </xf>
    <xf numFmtId="2" fontId="12" fillId="0" borderId="0" xfId="0" applyNumberFormat="1" applyFont="1" applyBorder="1" applyAlignment="1">
      <alignment wrapText="1"/>
    </xf>
    <xf numFmtId="2" fontId="16" fillId="0" borderId="0" xfId="0" applyNumberFormat="1" applyFont="1" applyFill="1" applyBorder="1" applyAlignment="1">
      <alignment wrapTex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6" fontId="6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/>
      <protection locked="0"/>
    </xf>
    <xf numFmtId="43" fontId="0" fillId="5" borderId="0" xfId="1" applyFont="1" applyFill="1" applyBorder="1" applyAlignment="1" applyProtection="1">
      <alignment vertical="center"/>
      <protection locked="0"/>
    </xf>
    <xf numFmtId="0" fontId="0" fillId="5" borderId="0" xfId="0" applyFill="1" applyBorder="1" applyProtection="1">
      <protection locked="0"/>
    </xf>
    <xf numFmtId="0" fontId="3" fillId="5" borderId="0" xfId="0" applyFont="1" applyFill="1" applyBorder="1" applyProtection="1">
      <protection locked="0"/>
    </xf>
    <xf numFmtId="0" fontId="0" fillId="5" borderId="0" xfId="0" applyFill="1" applyProtection="1">
      <protection locked="0"/>
    </xf>
    <xf numFmtId="0" fontId="3" fillId="5" borderId="0" xfId="0" applyFont="1" applyFill="1" applyProtection="1">
      <protection locked="0"/>
    </xf>
    <xf numFmtId="0" fontId="3" fillId="5" borderId="0" xfId="0" applyFont="1" applyFill="1" applyBorder="1" applyAlignment="1" applyProtection="1">
      <protection locked="0"/>
    </xf>
    <xf numFmtId="4" fontId="3" fillId="5" borderId="0" xfId="0" applyNumberFormat="1" applyFont="1" applyFill="1" applyBorder="1" applyAlignment="1" applyProtection="1">
      <alignment horizontal="left" vertical="center"/>
      <protection locked="0"/>
    </xf>
    <xf numFmtId="0" fontId="0" fillId="5" borderId="0" xfId="0" applyFont="1" applyFill="1" applyBorder="1" applyProtection="1">
      <protection locked="0"/>
    </xf>
    <xf numFmtId="43" fontId="3" fillId="5" borderId="0" xfId="1" applyFont="1" applyFill="1" applyBorder="1" applyAlignment="1" applyProtection="1">
      <alignment vertical="center"/>
    </xf>
    <xf numFmtId="43" fontId="1" fillId="5" borderId="0" xfId="1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9" fillId="5" borderId="0" xfId="0" applyFont="1" applyFill="1" applyBorder="1" applyAlignment="1" applyProtection="1">
      <alignment vertical="center"/>
    </xf>
    <xf numFmtId="2" fontId="11" fillId="5" borderId="0" xfId="0" applyNumberFormat="1" applyFont="1" applyFill="1" applyBorder="1" applyAlignment="1" applyProtection="1">
      <alignment horizontal="center" vertical="center"/>
    </xf>
    <xf numFmtId="43" fontId="3" fillId="5" borderId="0" xfId="1" applyFont="1" applyFill="1" applyBorder="1" applyAlignment="1" applyProtection="1">
      <alignment horizontal="center" vertical="center"/>
    </xf>
    <xf numFmtId="2" fontId="11" fillId="5" borderId="0" xfId="0" applyNumberFormat="1" applyFont="1" applyFill="1" applyBorder="1" applyAlignment="1" applyProtection="1">
      <alignment vertical="center"/>
    </xf>
    <xf numFmtId="2" fontId="13" fillId="5" borderId="0" xfId="0" applyNumberFormat="1" applyFont="1" applyFill="1" applyBorder="1" applyAlignment="1" applyProtection="1">
      <alignment vertical="center"/>
    </xf>
    <xf numFmtId="2" fontId="42" fillId="5" borderId="0" xfId="0" applyNumberFormat="1" applyFont="1" applyFill="1" applyBorder="1" applyAlignment="1" applyProtection="1">
      <alignment vertical="center"/>
    </xf>
    <xf numFmtId="0" fontId="0" fillId="5" borderId="0" xfId="0" applyFill="1" applyBorder="1" applyProtection="1"/>
    <xf numFmtId="0" fontId="0" fillId="5" borderId="0" xfId="0" applyFill="1" applyProtection="1"/>
    <xf numFmtId="0" fontId="3" fillId="5" borderId="0" xfId="0" applyFont="1" applyFill="1" applyProtection="1"/>
    <xf numFmtId="0" fontId="3" fillId="5" borderId="0" xfId="0" applyFont="1" applyFill="1" applyBorder="1" applyProtection="1"/>
    <xf numFmtId="4" fontId="3" fillId="5" borderId="0" xfId="0" applyNumberFormat="1" applyFont="1" applyFill="1" applyBorder="1" applyAlignment="1" applyProtection="1">
      <alignment horizontal="left"/>
    </xf>
    <xf numFmtId="0" fontId="3" fillId="5" borderId="0" xfId="0" applyFont="1" applyFill="1" applyBorder="1" applyAlignment="1" applyProtection="1">
      <alignment horizontal="center"/>
    </xf>
    <xf numFmtId="0" fontId="0" fillId="5" borderId="0" xfId="0" applyFont="1" applyFill="1" applyBorder="1" applyProtection="1"/>
    <xf numFmtId="0" fontId="9" fillId="5" borderId="0" xfId="0" applyFont="1" applyFill="1" applyBorder="1" applyAlignment="1" applyProtection="1">
      <alignment horizontal="center"/>
      <protection locked="0"/>
    </xf>
    <xf numFmtId="0" fontId="2" fillId="5" borderId="0" xfId="0" applyFont="1" applyFill="1" applyBorder="1" applyAlignment="1" applyProtection="1">
      <alignment horizontal="left"/>
      <protection locked="0"/>
    </xf>
    <xf numFmtId="43" fontId="2" fillId="5" borderId="0" xfId="1" applyFont="1" applyFill="1" applyBorder="1" applyProtection="1">
      <protection locked="0"/>
    </xf>
    <xf numFmtId="0" fontId="13" fillId="5" borderId="0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left"/>
      <protection locked="0"/>
    </xf>
    <xf numFmtId="0" fontId="0" fillId="5" borderId="0" xfId="0" applyFont="1" applyFill="1" applyBorder="1" applyAlignment="1" applyProtection="1">
      <alignment horizontal="left"/>
      <protection locked="0"/>
    </xf>
    <xf numFmtId="0" fontId="9" fillId="5" borderId="0" xfId="0" applyFont="1" applyFill="1" applyBorder="1" applyAlignment="1" applyProtection="1">
      <alignment horizontal="left"/>
      <protection locked="0"/>
    </xf>
    <xf numFmtId="0" fontId="2" fillId="5" borderId="0" xfId="0" applyFont="1" applyFill="1" applyBorder="1" applyAlignment="1" applyProtection="1">
      <alignment horizontal="right"/>
      <protection locked="0"/>
    </xf>
    <xf numFmtId="43" fontId="3" fillId="5" borderId="0" xfId="1" applyFont="1" applyFill="1" applyBorder="1" applyAlignment="1" applyProtection="1">
      <alignment horizontal="center"/>
      <protection locked="0"/>
    </xf>
    <xf numFmtId="0" fontId="0" fillId="5" borderId="5" xfId="0" applyFill="1" applyBorder="1" applyProtection="1">
      <protection locked="0"/>
    </xf>
    <xf numFmtId="2" fontId="0" fillId="5" borderId="0" xfId="0" applyNumberFormat="1" applyFont="1" applyFill="1" applyBorder="1" applyProtection="1">
      <protection locked="0"/>
    </xf>
    <xf numFmtId="0" fontId="0" fillId="5" borderId="4" xfId="0" applyFill="1" applyBorder="1" applyAlignment="1" applyProtection="1">
      <alignment horizontal="left"/>
      <protection locked="0"/>
    </xf>
    <xf numFmtId="0" fontId="13" fillId="5" borderId="0" xfId="0" applyFont="1" applyFill="1" applyBorder="1" applyAlignment="1" applyProtection="1">
      <protection locked="0"/>
    </xf>
    <xf numFmtId="164" fontId="3" fillId="5" borderId="0" xfId="1" applyNumberFormat="1" applyFont="1" applyFill="1" applyBorder="1" applyAlignment="1" applyProtection="1">
      <protection locked="0"/>
    </xf>
    <xf numFmtId="164" fontId="0" fillId="5" borderId="0" xfId="1" applyNumberFormat="1" applyFont="1" applyFill="1" applyBorder="1" applyAlignment="1" applyProtection="1">
      <protection locked="0"/>
    </xf>
    <xf numFmtId="0" fontId="13" fillId="5" borderId="0" xfId="0" applyFont="1" applyFill="1" applyBorder="1" applyAlignment="1" applyProtection="1">
      <alignment horizontal="left"/>
      <protection locked="0"/>
    </xf>
    <xf numFmtId="2" fontId="13" fillId="5" borderId="0" xfId="0" applyNumberFormat="1" applyFont="1" applyFill="1" applyBorder="1" applyAlignment="1" applyProtection="1">
      <protection locked="0"/>
    </xf>
    <xf numFmtId="0" fontId="0" fillId="5" borderId="0" xfId="0" applyFill="1" applyBorder="1" applyAlignment="1" applyProtection="1">
      <alignment vertical="top"/>
      <protection locked="0"/>
    </xf>
    <xf numFmtId="0" fontId="3" fillId="5" borderId="0" xfId="0" applyFont="1" applyFill="1" applyBorder="1" applyAlignment="1" applyProtection="1">
      <alignment vertical="top"/>
      <protection locked="0"/>
    </xf>
    <xf numFmtId="0" fontId="9" fillId="5" borderId="0" xfId="0" applyFont="1" applyFill="1" applyBorder="1" applyProtection="1">
      <protection locked="0"/>
    </xf>
    <xf numFmtId="43" fontId="0" fillId="5" borderId="0" xfId="1" applyFont="1" applyFill="1" applyBorder="1" applyAlignment="1" applyProtection="1">
      <alignment horizontal="center"/>
      <protection locked="0"/>
    </xf>
    <xf numFmtId="0" fontId="0" fillId="5" borderId="0" xfId="0" applyFont="1" applyFill="1"/>
    <xf numFmtId="0" fontId="0" fillId="0" borderId="0" xfId="0" applyFont="1" applyFill="1"/>
    <xf numFmtId="2" fontId="0" fillId="0" borderId="0" xfId="0" applyNumberFormat="1" applyFont="1" applyAlignment="1">
      <alignment horizontal="left"/>
    </xf>
    <xf numFmtId="2" fontId="0" fillId="3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2" fontId="0" fillId="0" borderId="0" xfId="0" applyNumberFormat="1" applyFont="1" applyAlignment="1">
      <alignment horizontal="left" vertical="center"/>
    </xf>
    <xf numFmtId="2" fontId="0" fillId="0" borderId="0" xfId="0" applyNumberFormat="1" applyFont="1" applyFill="1" applyAlignment="1">
      <alignment horizontal="left" vertical="center"/>
    </xf>
    <xf numFmtId="2" fontId="0" fillId="0" borderId="0" xfId="0" applyNumberFormat="1" applyFont="1" applyAlignment="1">
      <alignment vertical="center"/>
    </xf>
    <xf numFmtId="0" fontId="0" fillId="0" borderId="0" xfId="0" quotePrefix="1" applyFont="1" applyAlignment="1">
      <alignment vertical="center"/>
    </xf>
    <xf numFmtId="20" fontId="0" fillId="0" borderId="0" xfId="0" applyNumberFormat="1" applyFont="1" applyAlignment="1">
      <alignment vertical="center"/>
    </xf>
    <xf numFmtId="1" fontId="0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horizontal="left"/>
    </xf>
    <xf numFmtId="0" fontId="0" fillId="5" borderId="0" xfId="0" applyFill="1" applyAlignment="1"/>
    <xf numFmtId="2" fontId="0" fillId="3" borderId="0" xfId="0" applyNumberFormat="1" applyFont="1" applyFill="1" applyBorder="1"/>
    <xf numFmtId="43" fontId="0" fillId="3" borderId="0" xfId="0" applyNumberFormat="1" applyFont="1" applyFill="1" applyBorder="1"/>
    <xf numFmtId="164" fontId="0" fillId="3" borderId="0" xfId="0" applyNumberFormat="1" applyFont="1" applyFill="1" applyBorder="1"/>
    <xf numFmtId="43" fontId="3" fillId="2" borderId="7" xfId="1" applyFont="1" applyFill="1" applyBorder="1" applyAlignment="1">
      <alignment horizontal="center" vertical="center"/>
    </xf>
    <xf numFmtId="2" fontId="11" fillId="3" borderId="15" xfId="0" applyNumberFormat="1" applyFont="1" applyFill="1" applyBorder="1" applyAlignment="1" applyProtection="1">
      <alignment horizontal="center"/>
      <protection locked="0"/>
    </xf>
    <xf numFmtId="164" fontId="3" fillId="4" borderId="6" xfId="1" applyNumberFormat="1" applyFont="1" applyFill="1" applyBorder="1" applyAlignment="1"/>
    <xf numFmtId="164" fontId="6" fillId="4" borderId="7" xfId="1" applyNumberFormat="1" applyFont="1" applyFill="1" applyBorder="1" applyAlignment="1"/>
    <xf numFmtId="0" fontId="35" fillId="0" borderId="27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/>
    </xf>
    <xf numFmtId="0" fontId="3" fillId="0" borderId="0" xfId="0" applyFont="1" applyBorder="1"/>
    <xf numFmtId="164" fontId="12" fillId="0" borderId="0" xfId="0" applyNumberFormat="1" applyFont="1" applyBorder="1" applyAlignment="1"/>
    <xf numFmtId="0" fontId="0" fillId="5" borderId="0" xfId="0" applyFont="1" applyFill="1" applyBorder="1" applyAlignment="1">
      <alignment horizontal="center"/>
    </xf>
    <xf numFmtId="0" fontId="4" fillId="3" borderId="0" xfId="0" applyFont="1" applyFill="1"/>
    <xf numFmtId="0" fontId="4" fillId="0" borderId="0" xfId="0" applyFont="1"/>
    <xf numFmtId="2" fontId="4" fillId="0" borderId="0" xfId="0" applyNumberFormat="1" applyFont="1" applyAlignment="1">
      <alignment horizontal="left"/>
    </xf>
    <xf numFmtId="0" fontId="48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Fill="1"/>
    <xf numFmtId="0" fontId="4" fillId="0" borderId="0" xfId="0" applyFont="1" applyAlignment="1">
      <alignment horizontal="center" vertical="center"/>
    </xf>
    <xf numFmtId="0" fontId="49" fillId="3" borderId="20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8" fillId="3" borderId="20" xfId="0" applyFont="1" applyFill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2" fontId="4" fillId="3" borderId="0" xfId="0" applyNumberFormat="1" applyFont="1" applyFill="1" applyAlignment="1">
      <alignment horizontal="left"/>
    </xf>
    <xf numFmtId="0" fontId="4" fillId="3" borderId="20" xfId="0" applyFont="1" applyFill="1" applyBorder="1"/>
    <xf numFmtId="0" fontId="4" fillId="3" borderId="23" xfId="0" applyFont="1" applyFill="1" applyBorder="1"/>
    <xf numFmtId="0" fontId="4" fillId="3" borderId="0" xfId="0" applyFont="1" applyFill="1" applyBorder="1"/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8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8" fillId="0" borderId="20" xfId="0" applyFont="1" applyBorder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8" fillId="0" borderId="20" xfId="0" applyFont="1" applyBorder="1" applyAlignment="1">
      <alignment vertical="center"/>
    </xf>
    <xf numFmtId="2" fontId="4" fillId="3" borderId="0" xfId="0" applyNumberFormat="1" applyFont="1" applyFill="1" applyAlignment="1">
      <alignment horizontal="left" vertical="center"/>
    </xf>
    <xf numFmtId="0" fontId="49" fillId="3" borderId="20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8" fillId="3" borderId="20" xfId="0" applyFont="1" applyFill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8" fillId="3" borderId="20" xfId="0" applyFont="1" applyFill="1" applyBorder="1" applyAlignment="1">
      <alignment horizontal="left" vertical="center"/>
    </xf>
    <xf numFmtId="0" fontId="50" fillId="3" borderId="0" xfId="0" applyFont="1" applyFill="1" applyBorder="1" applyAlignment="1">
      <alignment vertical="center"/>
    </xf>
    <xf numFmtId="2" fontId="4" fillId="3" borderId="0" xfId="0" applyNumberFormat="1" applyFont="1" applyFill="1" applyBorder="1" applyAlignment="1">
      <alignment horizontal="left"/>
    </xf>
    <xf numFmtId="2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9" fillId="3" borderId="20" xfId="0" applyFont="1" applyFill="1" applyBorder="1" applyAlignment="1">
      <alignment horizontal="center" vertical="center"/>
    </xf>
    <xf numFmtId="2" fontId="48" fillId="3" borderId="0" xfId="0" applyNumberFormat="1" applyFont="1" applyFill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0" fontId="48" fillId="3" borderId="29" xfId="0" applyFont="1" applyFill="1" applyBorder="1" applyAlignment="1">
      <alignment horizontal="left" vertical="center"/>
    </xf>
    <xf numFmtId="0" fontId="48" fillId="3" borderId="29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49" fillId="3" borderId="0" xfId="0" applyFont="1" applyFill="1" applyBorder="1" applyAlignment="1">
      <alignment vertical="center"/>
    </xf>
    <xf numFmtId="0" fontId="48" fillId="3" borderId="0" xfId="0" applyFont="1" applyFill="1" applyBorder="1" applyAlignment="1">
      <alignment horizontal="center" vertical="center"/>
    </xf>
    <xf numFmtId="0" fontId="48" fillId="3" borderId="0" xfId="0" applyFont="1" applyFill="1" applyBorder="1" applyAlignment="1">
      <alignment vertical="center"/>
    </xf>
    <xf numFmtId="0" fontId="49" fillId="0" borderId="0" xfId="0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49" fillId="3" borderId="9" xfId="0" applyFont="1" applyFill="1" applyBorder="1" applyAlignment="1">
      <alignment horizontal="center" vertical="center"/>
    </xf>
    <xf numFmtId="0" fontId="49" fillId="3" borderId="10" xfId="0" applyFont="1" applyFill="1" applyBorder="1" applyAlignment="1">
      <alignment horizontal="center" vertical="center"/>
    </xf>
    <xf numFmtId="0" fontId="48" fillId="3" borderId="0" xfId="0" applyFont="1" applyFill="1" applyAlignment="1">
      <alignment horizontal="center" vertical="center"/>
    </xf>
    <xf numFmtId="0" fontId="48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9" fillId="3" borderId="15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8" fillId="3" borderId="0" xfId="0" applyFont="1" applyFill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/>
    </xf>
    <xf numFmtId="2" fontId="4" fillId="3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2" fontId="48" fillId="3" borderId="0" xfId="0" applyNumberFormat="1" applyFont="1" applyFill="1" applyAlignment="1">
      <alignment horizontal="center" vertical="center"/>
    </xf>
    <xf numFmtId="0" fontId="51" fillId="0" borderId="0" xfId="0" applyFont="1" applyAlignment="1">
      <alignment vertical="center"/>
    </xf>
    <xf numFmtId="4" fontId="4" fillId="3" borderId="0" xfId="0" applyNumberFormat="1" applyFont="1" applyFill="1" applyAlignment="1">
      <alignment horizontal="left" vertical="center"/>
    </xf>
    <xf numFmtId="43" fontId="48" fillId="3" borderId="0" xfId="1" applyFont="1" applyFill="1" applyBorder="1" applyAlignment="1">
      <alignment horizontal="center" vertical="center"/>
    </xf>
    <xf numFmtId="169" fontId="48" fillId="3" borderId="0" xfId="0" applyNumberFormat="1" applyFont="1" applyFill="1" applyAlignment="1">
      <alignment horizontal="center" vertical="center"/>
    </xf>
    <xf numFmtId="0" fontId="52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48" fillId="3" borderId="0" xfId="0" applyFont="1" applyFill="1" applyBorder="1" applyAlignment="1">
      <alignment horizontal="left" vertical="center"/>
    </xf>
    <xf numFmtId="0" fontId="53" fillId="3" borderId="0" xfId="0" applyFont="1" applyFill="1" applyBorder="1" applyAlignment="1">
      <alignment vertical="center"/>
    </xf>
    <xf numFmtId="2" fontId="52" fillId="0" borderId="0" xfId="0" applyNumberFormat="1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3" fillId="3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vertical="center"/>
    </xf>
    <xf numFmtId="2" fontId="54" fillId="0" borderId="0" xfId="0" applyNumberFormat="1" applyFont="1" applyBorder="1" applyAlignment="1">
      <alignment vertical="center" wrapText="1"/>
    </xf>
    <xf numFmtId="3" fontId="52" fillId="0" borderId="0" xfId="0" quotePrefix="1" applyNumberFormat="1" applyFont="1" applyBorder="1" applyAlignment="1">
      <alignment vertical="center" wrapText="1"/>
    </xf>
    <xf numFmtId="2" fontId="53" fillId="0" borderId="0" xfId="0" applyNumberFormat="1" applyFont="1" applyBorder="1" applyAlignment="1">
      <alignment vertical="center" wrapText="1"/>
    </xf>
    <xf numFmtId="2" fontId="54" fillId="0" borderId="0" xfId="0" quotePrefix="1" applyNumberFormat="1" applyFont="1" applyBorder="1" applyAlignment="1">
      <alignment vertical="center" wrapText="1"/>
    </xf>
    <xf numFmtId="2" fontId="52" fillId="0" borderId="0" xfId="0" quotePrefix="1" applyNumberFormat="1" applyFont="1" applyBorder="1" applyAlignment="1">
      <alignment horizontal="center" vertical="center"/>
    </xf>
    <xf numFmtId="2" fontId="4" fillId="0" borderId="0" xfId="0" quotePrefix="1" applyNumberFormat="1" applyFont="1" applyBorder="1" applyAlignment="1">
      <alignment vertical="center"/>
    </xf>
    <xf numFmtId="164" fontId="53" fillId="0" borderId="0" xfId="1" applyNumberFormat="1" applyFont="1" applyBorder="1" applyAlignment="1">
      <alignment vertical="center" wrapText="1"/>
    </xf>
    <xf numFmtId="0" fontId="48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43" fontId="4" fillId="0" borderId="0" xfId="0" applyNumberFormat="1" applyFont="1" applyAlignment="1">
      <alignment vertical="center"/>
    </xf>
    <xf numFmtId="4" fontId="48" fillId="3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2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4" fontId="48" fillId="3" borderId="0" xfId="0" applyNumberFormat="1" applyFont="1" applyFill="1" applyBorder="1" applyAlignment="1">
      <alignment vertical="center"/>
    </xf>
    <xf numFmtId="2" fontId="4" fillId="0" borderId="0" xfId="0" applyNumberFormat="1" applyFont="1" applyAlignment="1">
      <alignment vertical="center"/>
    </xf>
    <xf numFmtId="0" fontId="52" fillId="0" borderId="0" xfId="0" applyFont="1" applyBorder="1" applyAlignment="1">
      <alignment horizontal="center" vertical="center"/>
    </xf>
    <xf numFmtId="169" fontId="48" fillId="3" borderId="0" xfId="0" applyNumberFormat="1" applyFont="1" applyFill="1" applyBorder="1" applyAlignment="1">
      <alignment horizontal="center" vertical="center"/>
    </xf>
    <xf numFmtId="0" fontId="53" fillId="0" borderId="0" xfId="0" applyFont="1" applyBorder="1" applyAlignment="1">
      <alignment horizontal="left" vertical="center"/>
    </xf>
    <xf numFmtId="43" fontId="48" fillId="0" borderId="0" xfId="1" applyFont="1" applyFill="1" applyBorder="1" applyAlignment="1">
      <alignment vertical="center"/>
    </xf>
    <xf numFmtId="2" fontId="52" fillId="0" borderId="0" xfId="0" applyNumberFormat="1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  <xf numFmtId="2" fontId="54" fillId="0" borderId="0" xfId="0" applyNumberFormat="1" applyFont="1" applyBorder="1" applyAlignment="1">
      <alignment horizontal="center" vertical="center" wrapText="1"/>
    </xf>
    <xf numFmtId="2" fontId="54" fillId="0" borderId="0" xfId="0" quotePrefix="1" applyNumberFormat="1" applyFont="1" applyBorder="1" applyAlignment="1">
      <alignment horizontal="center" vertical="center" wrapText="1"/>
    </xf>
    <xf numFmtId="164" fontId="53" fillId="0" borderId="0" xfId="1" applyNumberFormat="1" applyFont="1" applyBorder="1" applyAlignment="1">
      <alignment horizontal="center" vertical="center" wrapText="1"/>
    </xf>
    <xf numFmtId="0" fontId="54" fillId="0" borderId="0" xfId="0" quotePrefix="1" applyFont="1" applyBorder="1" applyAlignment="1">
      <alignment horizontal="center" vertical="center"/>
    </xf>
    <xf numFmtId="2" fontId="48" fillId="3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54" fillId="3" borderId="0" xfId="0" applyFont="1" applyFill="1" applyBorder="1" applyAlignment="1">
      <alignment horizontal="center" vertical="center"/>
    </xf>
    <xf numFmtId="0" fontId="55" fillId="3" borderId="0" xfId="0" applyFont="1" applyFill="1" applyAlignment="1">
      <alignment vertical="center"/>
    </xf>
    <xf numFmtId="0" fontId="4" fillId="0" borderId="0" xfId="0" quotePrefix="1" applyFont="1" applyAlignment="1">
      <alignment vertical="center"/>
    </xf>
    <xf numFmtId="167" fontId="4" fillId="3" borderId="0" xfId="0" applyNumberFormat="1" applyFont="1" applyFill="1"/>
    <xf numFmtId="168" fontId="4" fillId="3" borderId="0" xfId="0" applyNumberFormat="1" applyFont="1" applyFill="1"/>
    <xf numFmtId="0" fontId="48" fillId="0" borderId="0" xfId="0" applyFont="1" applyAlignment="1">
      <alignment horizontal="left" vertical="center"/>
    </xf>
    <xf numFmtId="1" fontId="4" fillId="0" borderId="0" xfId="0" applyNumberFormat="1" applyFont="1" applyFill="1" applyAlignment="1">
      <alignment vertical="center"/>
    </xf>
    <xf numFmtId="0" fontId="48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20" fontId="4" fillId="0" borderId="0" xfId="0" applyNumberFormat="1" applyFont="1" applyAlignment="1">
      <alignment vertical="center"/>
    </xf>
    <xf numFmtId="0" fontId="11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3" fillId="3" borderId="20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6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56" fillId="3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 vertical="top"/>
    </xf>
    <xf numFmtId="0" fontId="3" fillId="5" borderId="14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/>
    </xf>
    <xf numFmtId="0" fontId="48" fillId="3" borderId="0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 vertical="top"/>
    </xf>
    <xf numFmtId="0" fontId="6" fillId="5" borderId="14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>
      <alignment horizontal="center"/>
    </xf>
    <xf numFmtId="2" fontId="3" fillId="5" borderId="5" xfId="0" applyNumberFormat="1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top"/>
    </xf>
    <xf numFmtId="0" fontId="6" fillId="5" borderId="14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3" fontId="52" fillId="0" borderId="0" xfId="0" quotePrefix="1" applyNumberFormat="1" applyFont="1" applyBorder="1" applyAlignment="1">
      <alignment horizontal="center" vertical="center" wrapText="1"/>
    </xf>
    <xf numFmtId="3" fontId="52" fillId="0" borderId="0" xfId="0" applyNumberFormat="1" applyFont="1" applyBorder="1" applyAlignment="1">
      <alignment horizontal="center" vertical="center" wrapText="1"/>
    </xf>
    <xf numFmtId="4" fontId="48" fillId="3" borderId="0" xfId="0" applyNumberFormat="1" applyFont="1" applyFill="1" applyAlignment="1">
      <alignment horizontal="left" vertical="center"/>
    </xf>
    <xf numFmtId="0" fontId="49" fillId="0" borderId="0" xfId="0" applyFont="1" applyFill="1" applyBorder="1" applyAlignment="1">
      <alignment horizontal="center" vertical="center"/>
    </xf>
    <xf numFmtId="2" fontId="52" fillId="0" borderId="0" xfId="0" applyNumberFormat="1" applyFont="1" applyBorder="1" applyAlignment="1">
      <alignment horizontal="center" vertical="center"/>
    </xf>
    <xf numFmtId="2" fontId="54" fillId="0" borderId="0" xfId="0" applyNumberFormat="1" applyFont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6" fillId="3" borderId="8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left" vertical="center"/>
      <protection locked="0"/>
    </xf>
    <xf numFmtId="0" fontId="49" fillId="3" borderId="9" xfId="0" applyFont="1" applyFill="1" applyBorder="1" applyAlignment="1">
      <alignment horizontal="left" vertical="center"/>
    </xf>
    <xf numFmtId="0" fontId="49" fillId="3" borderId="1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vertical="top"/>
    </xf>
    <xf numFmtId="0" fontId="12" fillId="5" borderId="14" xfId="0" applyFont="1" applyFill="1" applyBorder="1" applyAlignment="1">
      <alignment horizontal="center" vertical="top"/>
    </xf>
    <xf numFmtId="0" fontId="3" fillId="5" borderId="0" xfId="0" applyFont="1" applyFill="1" applyBorder="1" applyAlignment="1">
      <alignment horizontal="left"/>
    </xf>
    <xf numFmtId="2" fontId="17" fillId="4" borderId="6" xfId="0" quotePrefix="1" applyNumberFormat="1" applyFont="1" applyFill="1" applyBorder="1" applyAlignment="1">
      <alignment horizontal="center"/>
    </xf>
    <xf numFmtId="2" fontId="17" fillId="4" borderId="1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7" fillId="4" borderId="6" xfId="0" quotePrefix="1" applyFont="1" applyFill="1" applyBorder="1" applyAlignment="1">
      <alignment horizontal="center"/>
    </xf>
    <xf numFmtId="0" fontId="17" fillId="4" borderId="11" xfId="0" quotePrefix="1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2" fontId="54" fillId="0" borderId="0" xfId="0" quotePrefix="1" applyNumberFormat="1" applyFont="1" applyBorder="1" applyAlignment="1">
      <alignment horizontal="center" vertical="center" wrapText="1"/>
    </xf>
    <xf numFmtId="4" fontId="52" fillId="0" borderId="0" xfId="0" quotePrefix="1" applyNumberFormat="1" applyFont="1" applyBorder="1" applyAlignment="1">
      <alignment horizontal="center" vertical="center" wrapText="1"/>
    </xf>
    <xf numFmtId="4" fontId="52" fillId="0" borderId="0" xfId="0" applyNumberFormat="1" applyFont="1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4" borderId="6" xfId="1" applyNumberFormat="1" applyFont="1" applyFill="1" applyBorder="1" applyAlignment="1">
      <alignment horizontal="center"/>
    </xf>
    <xf numFmtId="164" fontId="3" fillId="4" borderId="11" xfId="1" applyNumberFormat="1" applyFont="1" applyFill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43" fontId="3" fillId="2" borderId="8" xfId="1" applyFont="1" applyFill="1" applyBorder="1" applyAlignment="1">
      <alignment horizontal="center" vertical="center"/>
    </xf>
    <xf numFmtId="43" fontId="3" fillId="2" borderId="11" xfId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 applyProtection="1">
      <alignment horizontal="center" vertical="center"/>
      <protection locked="0"/>
    </xf>
    <xf numFmtId="166" fontId="6" fillId="3" borderId="8" xfId="0" applyNumberFormat="1" applyFont="1" applyFill="1" applyBorder="1" applyAlignment="1" applyProtection="1">
      <alignment horizontal="center" vertical="center"/>
      <protection locked="0"/>
    </xf>
    <xf numFmtId="166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0" borderId="6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11" xfId="0" applyNumberFormat="1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/>
      <protection locked="0"/>
    </xf>
    <xf numFmtId="0" fontId="11" fillId="0" borderId="11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49" fontId="6" fillId="0" borderId="6" xfId="0" applyNumberFormat="1" applyFont="1" applyBorder="1" applyAlignment="1" applyProtection="1">
      <alignment horizontal="left" vertical="center"/>
      <protection locked="0"/>
    </xf>
    <xf numFmtId="49" fontId="6" fillId="0" borderId="8" xfId="0" applyNumberFormat="1" applyFont="1" applyBorder="1" applyAlignment="1" applyProtection="1">
      <alignment horizontal="left" vertical="center"/>
      <protection locked="0"/>
    </xf>
    <xf numFmtId="49" fontId="6" fillId="0" borderId="11" xfId="0" applyNumberFormat="1" applyFont="1" applyBorder="1" applyAlignment="1" applyProtection="1">
      <alignment horizontal="left" vertical="center"/>
      <protection locked="0"/>
    </xf>
    <xf numFmtId="166" fontId="6" fillId="3" borderId="6" xfId="0" applyNumberFormat="1" applyFont="1" applyFill="1" applyBorder="1" applyAlignment="1" applyProtection="1">
      <alignment horizontal="left" vertical="center"/>
      <protection locked="0"/>
    </xf>
    <xf numFmtId="166" fontId="6" fillId="3" borderId="8" xfId="0" applyNumberFormat="1" applyFont="1" applyFill="1" applyBorder="1" applyAlignment="1" applyProtection="1">
      <alignment horizontal="left" vertical="center"/>
      <protection locked="0"/>
    </xf>
    <xf numFmtId="166" fontId="6" fillId="3" borderId="11" xfId="0" applyNumberFormat="1" applyFont="1" applyFill="1" applyBorder="1" applyAlignment="1" applyProtection="1">
      <alignment horizontal="left" vertical="center"/>
      <protection locked="0"/>
    </xf>
    <xf numFmtId="0" fontId="3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2" fontId="3" fillId="5" borderId="12" xfId="0" applyNumberFormat="1" applyFont="1" applyFill="1" applyBorder="1" applyAlignment="1">
      <alignment horizontal="center" vertical="top"/>
    </xf>
    <xf numFmtId="2" fontId="3" fillId="5" borderId="14" xfId="0" applyNumberFormat="1" applyFont="1" applyFill="1" applyBorder="1" applyAlignment="1">
      <alignment horizontal="center" vertical="top"/>
    </xf>
    <xf numFmtId="0" fontId="5" fillId="0" borderId="0" xfId="0" applyFont="1" applyAlignment="1" applyProtection="1">
      <alignment horizontal="center" vertical="center"/>
    </xf>
    <xf numFmtId="164" fontId="16" fillId="0" borderId="23" xfId="1" applyNumberFormat="1" applyFont="1" applyBorder="1" applyAlignment="1">
      <alignment horizontal="center" vertical="center"/>
    </xf>
    <xf numFmtId="164" fontId="16" fillId="0" borderId="25" xfId="1" applyNumberFormat="1" applyFont="1" applyBorder="1" applyAlignment="1">
      <alignment horizontal="center" vertical="center"/>
    </xf>
    <xf numFmtId="164" fontId="16" fillId="0" borderId="26" xfId="1" applyNumberFormat="1" applyFont="1" applyBorder="1" applyAlignment="1">
      <alignment horizontal="center" vertical="center"/>
    </xf>
    <xf numFmtId="3" fontId="16" fillId="0" borderId="23" xfId="0" quotePrefix="1" applyNumberFormat="1" applyFont="1" applyBorder="1" applyAlignment="1">
      <alignment horizontal="center" vertical="center" wrapText="1"/>
    </xf>
    <xf numFmtId="3" fontId="16" fillId="0" borderId="25" xfId="0" quotePrefix="1" applyNumberFormat="1" applyFont="1" applyBorder="1" applyAlignment="1">
      <alignment horizontal="center" vertical="center" wrapText="1"/>
    </xf>
    <xf numFmtId="3" fontId="16" fillId="0" borderId="26" xfId="0" quotePrefix="1" applyNumberFormat="1" applyFont="1" applyBorder="1" applyAlignment="1">
      <alignment horizontal="center" vertical="center" wrapText="1"/>
    </xf>
    <xf numFmtId="2" fontId="16" fillId="0" borderId="23" xfId="0" applyNumberFormat="1" applyFont="1" applyBorder="1" applyAlignment="1">
      <alignment horizontal="center" vertical="center" wrapText="1"/>
    </xf>
    <xf numFmtId="2" fontId="16" fillId="0" borderId="25" xfId="0" applyNumberFormat="1" applyFont="1" applyBorder="1" applyAlignment="1">
      <alignment horizontal="center" vertical="center" wrapText="1"/>
    </xf>
    <xf numFmtId="2" fontId="16" fillId="0" borderId="26" xfId="0" applyNumberFormat="1" applyFont="1" applyBorder="1" applyAlignment="1">
      <alignment horizontal="center" vertical="center" wrapText="1"/>
    </xf>
    <xf numFmtId="4" fontId="16" fillId="0" borderId="23" xfId="0" applyNumberFormat="1" applyFont="1" applyBorder="1" applyAlignment="1">
      <alignment horizontal="center"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26" xfId="0" applyNumberFormat="1" applyFont="1" applyBorder="1" applyAlignment="1">
      <alignment horizontal="center" vertical="center" wrapText="1"/>
    </xf>
    <xf numFmtId="2" fontId="12" fillId="3" borderId="0" xfId="0" quotePrefix="1" applyNumberFormat="1" applyFont="1" applyFill="1" applyBorder="1" applyAlignment="1" applyProtection="1">
      <alignment horizontal="left" vertical="center" wrapText="1"/>
    </xf>
    <xf numFmtId="2" fontId="12" fillId="0" borderId="23" xfId="0" applyNumberFormat="1" applyFont="1" applyBorder="1" applyAlignment="1">
      <alignment horizontal="center" vertical="center"/>
    </xf>
    <xf numFmtId="2" fontId="12" fillId="0" borderId="25" xfId="0" applyNumberFormat="1" applyFont="1" applyBorder="1" applyAlignment="1">
      <alignment horizontal="center" vertical="center"/>
    </xf>
    <xf numFmtId="2" fontId="12" fillId="0" borderId="26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2" fontId="16" fillId="0" borderId="23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43" fontId="23" fillId="0" borderId="0" xfId="0" applyNumberFormat="1" applyFont="1" applyBorder="1" applyAlignment="1">
      <alignment horizontal="center" vertical="center"/>
    </xf>
    <xf numFmtId="2" fontId="16" fillId="0" borderId="25" xfId="0" applyNumberFormat="1" applyFont="1" applyBorder="1" applyAlignment="1">
      <alignment horizontal="center" vertical="center"/>
    </xf>
    <xf numFmtId="2" fontId="16" fillId="0" borderId="26" xfId="0" applyNumberFormat="1" applyFont="1" applyBorder="1" applyAlignment="1">
      <alignment horizontal="center" vertical="center"/>
    </xf>
    <xf numFmtId="2" fontId="12" fillId="3" borderId="0" xfId="0" quotePrefix="1" applyNumberFormat="1" applyFont="1" applyFill="1" applyBorder="1" applyAlignment="1" applyProtection="1">
      <alignment horizontal="left" vertical="center"/>
    </xf>
    <xf numFmtId="2" fontId="16" fillId="0" borderId="26" xfId="0" applyNumberFormat="1" applyFont="1" applyFill="1" applyBorder="1" applyAlignment="1">
      <alignment horizontal="center" vertical="center" wrapText="1"/>
    </xf>
    <xf numFmtId="2" fontId="16" fillId="0" borderId="20" xfId="0" applyNumberFormat="1" applyFont="1" applyFill="1" applyBorder="1" applyAlignment="1">
      <alignment horizontal="center" vertical="center" wrapText="1"/>
    </xf>
    <xf numFmtId="4" fontId="16" fillId="0" borderId="20" xfId="0" quotePrefix="1" applyNumberFormat="1" applyFont="1" applyBorder="1" applyAlignment="1">
      <alignment horizontal="center" vertical="center" wrapText="1"/>
    </xf>
    <xf numFmtId="2" fontId="16" fillId="0" borderId="20" xfId="0" applyNumberFormat="1" applyFont="1" applyBorder="1" applyAlignment="1">
      <alignment horizontal="center" vertical="center" wrapText="1"/>
    </xf>
    <xf numFmtId="4" fontId="16" fillId="0" borderId="23" xfId="0" quotePrefix="1" applyNumberFormat="1" applyFont="1" applyBorder="1" applyAlignment="1">
      <alignment horizontal="center" vertical="center" wrapText="1"/>
    </xf>
    <xf numFmtId="4" fontId="16" fillId="0" borderId="25" xfId="0" quotePrefix="1" applyNumberFormat="1" applyFont="1" applyBorder="1" applyAlignment="1">
      <alignment horizontal="center" vertical="center" wrapText="1"/>
    </xf>
    <xf numFmtId="4" fontId="16" fillId="0" borderId="26" xfId="0" quotePrefix="1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Fill="1" applyBorder="1" applyAlignment="1">
      <alignment horizontal="left"/>
    </xf>
    <xf numFmtId="0" fontId="12" fillId="0" borderId="25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/>
    </xf>
    <xf numFmtId="2" fontId="12" fillId="0" borderId="20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2" fontId="16" fillId="3" borderId="20" xfId="0" quotePrefix="1" applyNumberFormat="1" applyFont="1" applyFill="1" applyBorder="1" applyAlignment="1">
      <alignment horizontal="center" vertical="center" wrapText="1"/>
    </xf>
    <xf numFmtId="2" fontId="16" fillId="3" borderId="20" xfId="0" applyNumberFormat="1" applyFont="1" applyFill="1" applyBorder="1" applyAlignment="1">
      <alignment horizontal="center" vertical="center" wrapText="1"/>
    </xf>
    <xf numFmtId="164" fontId="16" fillId="3" borderId="23" xfId="1" quotePrefix="1" applyNumberFormat="1" applyFont="1" applyFill="1" applyBorder="1" applyAlignment="1">
      <alignment horizontal="center" vertical="center" wrapText="1"/>
    </xf>
    <xf numFmtId="164" fontId="16" fillId="3" borderId="25" xfId="1" quotePrefix="1" applyNumberFormat="1" applyFont="1" applyFill="1" applyBorder="1" applyAlignment="1">
      <alignment horizontal="center" vertical="center" wrapText="1"/>
    </xf>
    <xf numFmtId="164" fontId="16" fillId="3" borderId="26" xfId="1" quotePrefix="1" applyNumberFormat="1" applyFont="1" applyFill="1" applyBorder="1" applyAlignment="1">
      <alignment horizontal="center" vertical="center" wrapText="1"/>
    </xf>
    <xf numFmtId="0" fontId="32" fillId="0" borderId="0" xfId="0" applyFont="1" applyBorder="1" applyAlignment="1" applyProtection="1">
      <alignment horizontal="left" vertical="center" wrapText="1"/>
    </xf>
    <xf numFmtId="166" fontId="12" fillId="0" borderId="0" xfId="0" applyNumberFormat="1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2" fontId="16" fillId="0" borderId="20" xfId="0" quotePrefix="1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left" vertical="top" wrapText="1"/>
    </xf>
    <xf numFmtId="164" fontId="16" fillId="0" borderId="23" xfId="0" applyNumberFormat="1" applyFont="1" applyBorder="1" applyAlignment="1">
      <alignment horizontal="center"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64" fontId="16" fillId="0" borderId="23" xfId="1" quotePrefix="1" applyNumberFormat="1" applyFont="1" applyFill="1" applyBorder="1" applyAlignment="1">
      <alignment horizontal="center" vertical="center" wrapText="1"/>
    </xf>
    <xf numFmtId="164" fontId="16" fillId="0" borderId="25" xfId="1" quotePrefix="1" applyNumberFormat="1" applyFont="1" applyFill="1" applyBorder="1" applyAlignment="1">
      <alignment horizontal="center" vertical="center" wrapText="1"/>
    </xf>
    <xf numFmtId="164" fontId="16" fillId="0" borderId="26" xfId="1" quotePrefix="1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3" borderId="23" xfId="0" applyFont="1" applyFill="1" applyBorder="1" applyAlignment="1" applyProtection="1">
      <alignment horizontal="left" vertical="center"/>
    </xf>
    <xf numFmtId="0" fontId="12" fillId="3" borderId="25" xfId="0" applyFont="1" applyFill="1" applyBorder="1" applyAlignment="1" applyProtection="1">
      <alignment horizontal="left" vertical="center"/>
    </xf>
    <xf numFmtId="0" fontId="12" fillId="3" borderId="26" xfId="0" applyFont="1" applyFill="1" applyBorder="1" applyAlignment="1" applyProtection="1">
      <alignment horizontal="left" vertical="center"/>
    </xf>
    <xf numFmtId="1" fontId="16" fillId="3" borderId="23" xfId="0" quotePrefix="1" applyNumberFormat="1" applyFont="1" applyFill="1" applyBorder="1" applyAlignment="1">
      <alignment horizontal="center" vertical="center" wrapText="1"/>
    </xf>
    <xf numFmtId="1" fontId="16" fillId="3" borderId="25" xfId="0" quotePrefix="1" applyNumberFormat="1" applyFont="1" applyFill="1" applyBorder="1" applyAlignment="1">
      <alignment horizontal="center" vertical="center" wrapText="1"/>
    </xf>
    <xf numFmtId="1" fontId="16" fillId="3" borderId="26" xfId="0" quotePrefix="1" applyNumberFormat="1" applyFont="1" applyFill="1" applyBorder="1" applyAlignment="1">
      <alignment horizontal="center" vertical="center" wrapText="1"/>
    </xf>
    <xf numFmtId="164" fontId="16" fillId="0" borderId="16" xfId="1" quotePrefix="1" applyNumberFormat="1" applyFont="1" applyFill="1" applyBorder="1" applyAlignment="1">
      <alignment horizontal="center" vertical="center" wrapText="1"/>
    </xf>
    <xf numFmtId="164" fontId="16" fillId="0" borderId="17" xfId="1" quotePrefix="1" applyNumberFormat="1" applyFont="1" applyFill="1" applyBorder="1" applyAlignment="1">
      <alignment horizontal="center" vertical="center" wrapText="1"/>
    </xf>
    <xf numFmtId="164" fontId="16" fillId="0" borderId="18" xfId="1" quotePrefix="1" applyNumberFormat="1" applyFont="1" applyFill="1" applyBorder="1" applyAlignment="1">
      <alignment horizontal="center" vertical="center" wrapText="1"/>
    </xf>
    <xf numFmtId="1" fontId="16" fillId="3" borderId="23" xfId="0" applyNumberFormat="1" applyFont="1" applyFill="1" applyBorder="1" applyAlignment="1">
      <alignment horizontal="center" vertical="center" wrapText="1"/>
    </xf>
    <xf numFmtId="1" fontId="16" fillId="3" borderId="25" xfId="0" applyNumberFormat="1" applyFont="1" applyFill="1" applyBorder="1" applyAlignment="1">
      <alignment horizontal="center" vertical="center" wrapText="1"/>
    </xf>
    <xf numFmtId="1" fontId="16" fillId="3" borderId="26" xfId="0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2" fontId="16" fillId="3" borderId="23" xfId="0" quotePrefix="1" applyNumberFormat="1" applyFont="1" applyFill="1" applyBorder="1" applyAlignment="1">
      <alignment horizontal="center" vertical="center" wrapText="1"/>
    </xf>
    <xf numFmtId="2" fontId="16" fillId="3" borderId="25" xfId="0" quotePrefix="1" applyNumberFormat="1" applyFont="1" applyFill="1" applyBorder="1" applyAlignment="1">
      <alignment horizontal="center" vertical="center" wrapText="1"/>
    </xf>
    <xf numFmtId="2" fontId="16" fillId="3" borderId="26" xfId="0" quotePrefix="1" applyNumberFormat="1" applyFont="1" applyFill="1" applyBorder="1" applyAlignment="1">
      <alignment horizontal="center" vertical="center" wrapText="1"/>
    </xf>
    <xf numFmtId="1" fontId="16" fillId="3" borderId="20" xfId="0" applyNumberFormat="1" applyFont="1" applyFill="1" applyBorder="1" applyAlignment="1">
      <alignment horizontal="center" vertical="center" wrapText="1"/>
    </xf>
    <xf numFmtId="2" fontId="12" fillId="0" borderId="16" xfId="0" applyNumberFormat="1" applyFont="1" applyBorder="1" applyAlignment="1">
      <alignment horizontal="center" vertical="center"/>
    </xf>
    <xf numFmtId="2" fontId="12" fillId="0" borderId="17" xfId="0" applyNumberFormat="1" applyFont="1" applyBorder="1" applyAlignment="1">
      <alignment horizontal="center" vertical="center"/>
    </xf>
    <xf numFmtId="2" fontId="12" fillId="0" borderId="18" xfId="0" applyNumberFormat="1" applyFont="1" applyBorder="1" applyAlignment="1">
      <alignment horizontal="center" vertical="center"/>
    </xf>
    <xf numFmtId="4" fontId="16" fillId="0" borderId="26" xfId="0" applyNumberFormat="1" applyFont="1" applyFill="1" applyBorder="1" applyAlignment="1">
      <alignment horizontal="center" vertical="center" wrapText="1"/>
    </xf>
    <xf numFmtId="4" fontId="16" fillId="0" borderId="20" xfId="0" applyNumberFormat="1" applyFont="1" applyFill="1" applyBorder="1" applyAlignment="1">
      <alignment horizontal="center" vertical="center" wrapText="1"/>
    </xf>
    <xf numFmtId="4" fontId="16" fillId="0" borderId="20" xfId="0" applyNumberFormat="1" applyFont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/>
    </xf>
    <xf numFmtId="3" fontId="17" fillId="0" borderId="17" xfId="0" quotePrefix="1" applyNumberFormat="1" applyFont="1" applyBorder="1" applyAlignment="1">
      <alignment horizontal="left" wrapText="1"/>
    </xf>
    <xf numFmtId="1" fontId="16" fillId="0" borderId="23" xfId="0" applyNumberFormat="1" applyFont="1" applyBorder="1" applyAlignment="1">
      <alignment horizontal="center" vertical="center" wrapText="1"/>
    </xf>
    <xf numFmtId="1" fontId="16" fillId="0" borderId="25" xfId="0" applyNumberFormat="1" applyFont="1" applyBorder="1" applyAlignment="1">
      <alignment horizontal="center" vertical="center" wrapText="1"/>
    </xf>
    <xf numFmtId="1" fontId="16" fillId="0" borderId="26" xfId="0" applyNumberFormat="1" applyFont="1" applyBorder="1" applyAlignment="1">
      <alignment horizontal="center" vertical="center" wrapText="1"/>
    </xf>
    <xf numFmtId="2" fontId="16" fillId="0" borderId="23" xfId="0" quotePrefix="1" applyNumberFormat="1" applyFont="1" applyBorder="1" applyAlignment="1">
      <alignment horizontal="center" vertical="center" wrapText="1"/>
    </xf>
    <xf numFmtId="2" fontId="16" fillId="0" borderId="25" xfId="0" quotePrefix="1" applyNumberFormat="1" applyFont="1" applyBorder="1" applyAlignment="1">
      <alignment horizontal="center" vertical="center" wrapText="1"/>
    </xf>
    <xf numFmtId="2" fontId="16" fillId="0" borderId="26" xfId="0" quotePrefix="1" applyNumberFormat="1" applyFont="1" applyBorder="1" applyAlignment="1">
      <alignment horizontal="center" vertical="center" wrapText="1"/>
    </xf>
    <xf numFmtId="0" fontId="12" fillId="0" borderId="17" xfId="0" applyFont="1" applyBorder="1" applyAlignment="1" applyProtection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</dxf>
    <dxf>
      <font>
        <color rgb="FFFFFF99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strike val="0"/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0000"/>
      </font>
    </dxf>
    <dxf>
      <font>
        <color rgb="FFFF0000"/>
      </font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0000"/>
      </font>
    </dxf>
  </dxfs>
  <tableStyles count="0" defaultTableStyle="TableStyleMedium2" defaultPivotStyle="PivotStyleLight16"/>
  <colors>
    <mruColors>
      <color rgb="FFFFFF99"/>
      <color rgb="FFFFFFCC"/>
      <color rgb="FF99CCFF"/>
      <color rgb="FF6699FF"/>
      <color rgb="FFF8B4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123823</xdr:colOff>
      <xdr:row>240</xdr:row>
      <xdr:rowOff>19050</xdr:rowOff>
    </xdr:from>
    <xdr:to>
      <xdr:col>7</xdr:col>
      <xdr:colOff>666749</xdr:colOff>
      <xdr:row>265</xdr:row>
      <xdr:rowOff>96236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0576" t="13243" r="33586" b="10729"/>
        <a:stretch/>
      </xdr:blipFill>
      <xdr:spPr>
        <a:xfrm>
          <a:off x="528636" y="47644050"/>
          <a:ext cx="5960270" cy="506590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586"/>
  <sheetViews>
    <sheetView showGridLines="0" tabSelected="1" zoomScale="80" zoomScaleNormal="80" workbookViewId="0">
      <selection activeCell="G5" sqref="G5:P5"/>
    </sheetView>
  </sheetViews>
  <sheetFormatPr defaultRowHeight="15" x14ac:dyDescent="0.25"/>
  <cols>
    <col min="1" max="1" width="2.7109375" customWidth="1"/>
    <col min="2" max="2" width="3.28515625" customWidth="1"/>
    <col min="3" max="3" width="3" style="117" customWidth="1"/>
    <col min="4" max="4" width="21.28515625" customWidth="1"/>
    <col min="5" max="5" width="22.7109375" customWidth="1"/>
    <col min="6" max="6" width="23.140625" customWidth="1"/>
    <col min="7" max="7" width="11.140625" customWidth="1"/>
    <col min="8" max="8" width="11.7109375" customWidth="1"/>
    <col min="9" max="9" width="3.140625" customWidth="1"/>
    <col min="10" max="10" width="2.28515625" style="3" customWidth="1"/>
    <col min="11" max="11" width="3.28515625" style="664" customWidth="1"/>
    <col min="12" max="12" width="2.42578125" style="631" customWidth="1"/>
    <col min="13" max="13" width="2.140625" style="116" customWidth="1"/>
    <col min="14" max="14" width="6.42578125" style="116" customWidth="1"/>
    <col min="15" max="15" width="13.42578125" customWidth="1"/>
    <col min="16" max="16" width="16.5703125" customWidth="1"/>
    <col min="17" max="17" width="15.28515625" customWidth="1"/>
    <col min="18" max="18" width="14.140625" customWidth="1"/>
    <col min="19" max="19" width="13.5703125" customWidth="1"/>
    <col min="20" max="20" width="14.140625" style="116" customWidth="1"/>
    <col min="21" max="21" width="14.140625" customWidth="1"/>
    <col min="22" max="22" width="4.42578125" customWidth="1"/>
    <col min="23" max="23" width="2.7109375" customWidth="1"/>
    <col min="24" max="24" width="11.5703125" style="179" customWidth="1"/>
    <col min="25" max="25" width="11.42578125" style="179" customWidth="1"/>
    <col min="26" max="62" width="14.42578125" style="179" customWidth="1"/>
    <col min="63" max="63" width="14.42578125" style="470" customWidth="1"/>
    <col min="64" max="64" width="22.140625" style="797" customWidth="1"/>
    <col min="65" max="65" width="13.42578125" style="179" customWidth="1"/>
    <col min="66" max="66" width="12.7109375" style="179" customWidth="1"/>
    <col min="67" max="67" width="16.28515625" style="179" customWidth="1"/>
    <col min="68" max="68" width="8" style="179" customWidth="1"/>
    <col min="69" max="69" width="4.85546875" style="179" customWidth="1"/>
    <col min="70" max="70" width="12.5703125" style="179" customWidth="1"/>
    <col min="71" max="71" width="6.5703125" style="179" customWidth="1"/>
    <col min="72" max="72" width="9.140625" style="179" customWidth="1"/>
    <col min="73" max="73" width="10" style="179" customWidth="1"/>
    <col min="74" max="74" width="5.140625" style="179" customWidth="1"/>
    <col min="75" max="76" width="5.85546875" style="179" customWidth="1"/>
    <col min="77" max="77" width="6.28515625" style="179" customWidth="1"/>
    <col min="78" max="78" width="13.7109375" style="179" customWidth="1"/>
    <col min="79" max="79" width="5" style="179" customWidth="1"/>
    <col min="80" max="80" width="5.42578125" style="179" customWidth="1"/>
    <col min="81" max="81" width="15" style="179" customWidth="1"/>
    <col min="82" max="132" width="9.140625" style="179"/>
  </cols>
  <sheetData>
    <row r="1" spans="1:130" ht="27.75" customHeight="1" x14ac:dyDescent="0.3">
      <c r="A1" s="1"/>
      <c r="B1" s="4" t="s">
        <v>262</v>
      </c>
      <c r="C1" s="629"/>
      <c r="D1" s="1"/>
      <c r="E1" s="4"/>
      <c r="F1" s="4"/>
      <c r="G1" s="5"/>
      <c r="H1" s="6"/>
      <c r="I1" s="6"/>
      <c r="J1" s="6"/>
      <c r="K1" s="647"/>
      <c r="L1" s="621"/>
      <c r="M1" s="5"/>
      <c r="N1" s="6"/>
      <c r="O1" s="2"/>
      <c r="P1" s="1"/>
      <c r="Q1" s="1"/>
      <c r="R1" s="6"/>
      <c r="S1" s="6"/>
      <c r="T1" s="1"/>
      <c r="U1" s="1"/>
      <c r="V1" s="2"/>
      <c r="W1" s="1"/>
      <c r="X1" s="820" t="s">
        <v>166</v>
      </c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470"/>
      <c r="BH1" s="470"/>
      <c r="BI1" s="470"/>
      <c r="BJ1" s="470"/>
      <c r="BK1" s="796"/>
      <c r="BL1" s="820"/>
      <c r="BM1" s="821"/>
      <c r="BN1" s="822"/>
      <c r="BO1" s="823" t="s">
        <v>167</v>
      </c>
      <c r="BP1" s="821"/>
      <c r="BQ1" s="821"/>
      <c r="BR1" s="821"/>
      <c r="BS1" s="821"/>
      <c r="BT1" s="821"/>
      <c r="BU1" s="821"/>
      <c r="BV1" s="821"/>
      <c r="BW1" s="821"/>
      <c r="BX1" s="824" t="s">
        <v>2</v>
      </c>
      <c r="BY1" s="821"/>
      <c r="BZ1" s="821"/>
      <c r="CA1" s="821"/>
      <c r="CB1" s="821"/>
      <c r="CC1" s="821"/>
      <c r="CD1" s="821"/>
    </row>
    <row r="2" spans="1:130" ht="9.75" customHeight="1" thickBot="1" x14ac:dyDescent="0.35">
      <c r="A2" s="1"/>
      <c r="B2" s="4"/>
      <c r="C2" s="629"/>
      <c r="D2" s="1"/>
      <c r="E2" s="4"/>
      <c r="F2" s="4"/>
      <c r="G2" s="5"/>
      <c r="H2" s="6"/>
      <c r="I2" s="6"/>
      <c r="J2" s="6"/>
      <c r="K2" s="648"/>
      <c r="L2" s="622"/>
      <c r="M2" s="1"/>
      <c r="N2" s="1"/>
      <c r="O2" s="2"/>
      <c r="P2" s="1"/>
      <c r="Q2" s="1"/>
      <c r="R2" s="1"/>
      <c r="S2" s="1"/>
      <c r="T2" s="1"/>
      <c r="U2" s="1"/>
      <c r="V2" s="2"/>
      <c r="W2" s="1"/>
      <c r="X2" s="796"/>
      <c r="Y2" s="796"/>
      <c r="Z2" s="796"/>
      <c r="AA2" s="796"/>
      <c r="AB2" s="796"/>
      <c r="AC2" s="796"/>
      <c r="AD2" s="796"/>
      <c r="AE2" s="796"/>
      <c r="AF2" s="796"/>
      <c r="AG2" s="796"/>
      <c r="AH2" s="796"/>
      <c r="AI2" s="796"/>
      <c r="AJ2" s="796"/>
      <c r="AK2" s="796"/>
      <c r="AL2" s="796"/>
      <c r="AM2" s="796"/>
      <c r="AN2" s="796"/>
      <c r="AO2" s="796"/>
      <c r="AP2" s="796"/>
      <c r="AQ2" s="796"/>
      <c r="AR2" s="796"/>
      <c r="AS2" s="796"/>
      <c r="AT2" s="796"/>
      <c r="AU2" s="796"/>
      <c r="AV2" s="796"/>
      <c r="AW2" s="796"/>
      <c r="AX2" s="796"/>
      <c r="AY2" s="796"/>
      <c r="AZ2" s="796"/>
      <c r="BA2" s="796"/>
      <c r="BB2" s="796"/>
      <c r="BC2" s="796"/>
      <c r="BD2" s="796"/>
      <c r="BE2" s="796"/>
      <c r="BF2" s="796"/>
      <c r="BG2" s="796"/>
      <c r="BH2" s="796"/>
      <c r="BI2" s="796"/>
      <c r="BJ2" s="796"/>
      <c r="BK2" s="796"/>
      <c r="BL2" s="825"/>
      <c r="BM2" s="820"/>
      <c r="BN2" s="822"/>
      <c r="BO2" s="823"/>
      <c r="BP2" s="821"/>
      <c r="BQ2" s="821"/>
      <c r="BR2" s="821"/>
      <c r="BS2" s="821"/>
      <c r="BT2" s="821"/>
      <c r="BU2" s="821"/>
      <c r="BV2" s="821"/>
      <c r="BW2" s="821"/>
      <c r="BX2" s="826"/>
      <c r="BY2" s="821"/>
      <c r="BZ2" s="821"/>
      <c r="CA2" s="821"/>
      <c r="CB2" s="821"/>
      <c r="CC2" s="821"/>
      <c r="CD2" s="821"/>
    </row>
    <row r="3" spans="1:130" ht="19.5" customHeight="1" x14ac:dyDescent="0.3">
      <c r="A3" s="1"/>
      <c r="B3" s="600" t="s">
        <v>307</v>
      </c>
      <c r="C3" s="629"/>
      <c r="D3" s="1"/>
      <c r="E3" s="4"/>
      <c r="F3" s="4"/>
      <c r="G3" s="5"/>
      <c r="H3" s="6"/>
      <c r="I3" s="6"/>
      <c r="J3" s="6"/>
      <c r="K3" s="648"/>
      <c r="L3" s="622"/>
      <c r="M3" s="1"/>
      <c r="N3" s="1"/>
      <c r="O3" s="2"/>
      <c r="P3" s="1"/>
      <c r="Q3" s="1"/>
      <c r="R3" s="1"/>
      <c r="S3" s="1"/>
      <c r="T3" s="1"/>
      <c r="U3" s="1"/>
      <c r="V3" s="2"/>
      <c r="W3" s="1"/>
      <c r="X3" s="796"/>
      <c r="Y3" s="796"/>
      <c r="Z3" s="796"/>
      <c r="AA3" s="796"/>
      <c r="AB3" s="796"/>
      <c r="AC3" s="796"/>
      <c r="AD3" s="796"/>
      <c r="AE3" s="796"/>
      <c r="AF3" s="796"/>
      <c r="AG3" s="796"/>
      <c r="AH3" s="796"/>
      <c r="AI3" s="796"/>
      <c r="AJ3" s="796"/>
      <c r="AK3" s="796"/>
      <c r="AL3" s="796"/>
      <c r="AM3" s="796"/>
      <c r="AN3" s="796"/>
      <c r="AO3" s="796"/>
      <c r="AP3" s="796"/>
      <c r="AQ3" s="796"/>
      <c r="AR3" s="796"/>
      <c r="AS3" s="796"/>
      <c r="AT3" s="796"/>
      <c r="AU3" s="796"/>
      <c r="AV3" s="796"/>
      <c r="AW3" s="796"/>
      <c r="AX3" s="796"/>
      <c r="AY3" s="796"/>
      <c r="AZ3" s="796"/>
      <c r="BA3" s="796"/>
      <c r="BB3" s="796"/>
      <c r="BC3" s="796"/>
      <c r="BD3" s="796"/>
      <c r="BE3" s="796"/>
      <c r="BF3" s="796"/>
      <c r="BG3" s="796"/>
      <c r="BH3" s="796"/>
      <c r="BI3" s="796"/>
      <c r="BJ3" s="796"/>
      <c r="BK3" s="796"/>
      <c r="BL3" s="825"/>
      <c r="BM3" s="820"/>
      <c r="BN3" s="822"/>
      <c r="BO3" s="827" t="s">
        <v>5</v>
      </c>
      <c r="BP3" s="821"/>
      <c r="BQ3" s="821"/>
      <c r="BR3" s="821"/>
      <c r="BS3" s="821"/>
      <c r="BT3" s="821"/>
      <c r="BU3" s="821"/>
      <c r="BV3" s="821"/>
      <c r="BW3" s="821"/>
      <c r="BX3" s="828" t="s">
        <v>8</v>
      </c>
      <c r="BY3" s="829"/>
      <c r="BZ3" s="829"/>
      <c r="CA3" s="830"/>
      <c r="CB3" s="821"/>
      <c r="CC3" s="948"/>
      <c r="CD3" s="821"/>
    </row>
    <row r="4" spans="1:130" ht="19.5" customHeight="1" thickBot="1" x14ac:dyDescent="0.35">
      <c r="A4" s="1"/>
      <c r="B4" s="4"/>
      <c r="C4" s="629"/>
      <c r="D4" s="1"/>
      <c r="E4" s="4"/>
      <c r="F4" s="4"/>
      <c r="G4" s="5"/>
      <c r="H4" s="6"/>
      <c r="I4" s="6"/>
      <c r="J4" s="6"/>
      <c r="K4" s="648"/>
      <c r="L4" s="622"/>
      <c r="M4" s="1"/>
      <c r="N4" s="1"/>
      <c r="O4" s="2"/>
      <c r="P4" s="1"/>
      <c r="Q4" s="1"/>
      <c r="R4" s="1"/>
      <c r="S4" s="1"/>
      <c r="T4" s="1"/>
      <c r="U4" s="1"/>
      <c r="V4" s="2"/>
      <c r="W4" s="1"/>
      <c r="X4" s="796"/>
      <c r="Y4" s="796"/>
      <c r="Z4" s="796"/>
      <c r="AA4" s="796"/>
      <c r="AB4" s="796"/>
      <c r="AC4" s="796"/>
      <c r="AD4" s="796"/>
      <c r="AE4" s="796"/>
      <c r="AF4" s="796"/>
      <c r="AG4" s="796"/>
      <c r="AH4" s="796"/>
      <c r="AI4" s="796"/>
      <c r="AJ4" s="796"/>
      <c r="AK4" s="796"/>
      <c r="AL4" s="796"/>
      <c r="AM4" s="796"/>
      <c r="AN4" s="796"/>
      <c r="AO4" s="796"/>
      <c r="AP4" s="796"/>
      <c r="AQ4" s="796"/>
      <c r="AR4" s="796"/>
      <c r="AS4" s="796"/>
      <c r="AT4" s="796"/>
      <c r="AU4" s="796"/>
      <c r="AV4" s="796"/>
      <c r="AW4" s="796"/>
      <c r="AX4" s="796"/>
      <c r="AY4" s="796"/>
      <c r="AZ4" s="796"/>
      <c r="BA4" s="796"/>
      <c r="BB4" s="796"/>
      <c r="BC4" s="796"/>
      <c r="BD4" s="796"/>
      <c r="BE4" s="796"/>
      <c r="BF4" s="796"/>
      <c r="BG4" s="796"/>
      <c r="BH4" s="796"/>
      <c r="BI4" s="796"/>
      <c r="BJ4" s="796"/>
      <c r="BK4" s="796"/>
      <c r="BL4" s="825"/>
      <c r="BM4" s="820"/>
      <c r="BN4" s="822"/>
      <c r="BO4" s="831" t="s">
        <v>7</v>
      </c>
      <c r="BP4" s="821"/>
      <c r="BQ4" s="821"/>
      <c r="BR4" s="821"/>
      <c r="BS4" s="821"/>
      <c r="BT4" s="821"/>
      <c r="BU4" s="821"/>
      <c r="BV4" s="821"/>
      <c r="BW4" s="821"/>
      <c r="BX4" s="832">
        <f>IF($O$27="Resid. Padrão Alto",160,IF($O$27="Resid. Padrão Médio",130,IF($O$27="Resid. Padrão Baixo",100,IF($O$27="Hotel (exceto banheira, lavanderia e cozinha)",100,IF($O$27="Hotel com cozinha e lavanderia, exceto banheira",240,IF($O$27="Hotel com cozinha, lavanderia e banheira",360,IF($O$27="Alojamento Provisório",80,IF($O$27="Orfanato - Asilo",120,IF($O$27="Escola (internato)",150,IF($O$27="Presídio",240,IF($O$27="Quartel",120,IF($O$27="Área rural",100,IF($O$27="Fábrica em Geral",70,0)))))))))))))</f>
        <v>160</v>
      </c>
      <c r="BY4" s="833">
        <f>IF($O$27="Escritório",50,IF($O$27="Edifício público ou comercial",50,IF($O$27="Escola de meio período",50,IF($O$27="Escola de período integral",100,IF($O$27="Creche",50,IF($O$27="Bar",6,0))))))</f>
        <v>0</v>
      </c>
      <c r="BZ4" s="833">
        <f>IF($O$27="Restaurantes e similares",25,IF($O$27="Cinema, teatro, templo, igreja e locais de curta permanência",2,0))</f>
        <v>0</v>
      </c>
      <c r="CA4" s="834">
        <f>IF($O$27="Ambulatório",25,IF($O$27="Estação ferroviária, rodoviária e metroviária",25,IF($O$27="Sanitário público",480,0)))</f>
        <v>0</v>
      </c>
      <c r="CB4" s="821"/>
      <c r="CC4" s="948"/>
      <c r="CD4" s="821"/>
    </row>
    <row r="5" spans="1:130" ht="19.5" customHeight="1" thickBot="1" x14ac:dyDescent="0.3">
      <c r="A5" s="1"/>
      <c r="B5" s="352" t="s">
        <v>160</v>
      </c>
      <c r="C5" s="629"/>
      <c r="D5" s="1"/>
      <c r="E5" s="352"/>
      <c r="F5" s="352" t="s">
        <v>161</v>
      </c>
      <c r="G5" s="1017"/>
      <c r="H5" s="1018"/>
      <c r="I5" s="1018"/>
      <c r="J5" s="1018"/>
      <c r="K5" s="1018"/>
      <c r="L5" s="1018"/>
      <c r="M5" s="1018"/>
      <c r="N5" s="1018"/>
      <c r="O5" s="1018"/>
      <c r="P5" s="1019"/>
      <c r="Q5" s="730"/>
      <c r="R5" s="730"/>
      <c r="S5" s="1"/>
      <c r="T5" s="1"/>
      <c r="U5" s="1"/>
      <c r="V5" s="1"/>
      <c r="W5" s="2"/>
      <c r="X5" s="796"/>
      <c r="Y5" s="796"/>
      <c r="Z5" s="796"/>
      <c r="AA5" s="796"/>
      <c r="AB5" s="796"/>
      <c r="AC5" s="796"/>
      <c r="AD5" s="796"/>
      <c r="AE5" s="796"/>
      <c r="AF5" s="796"/>
      <c r="AG5" s="796"/>
      <c r="AH5" s="796"/>
      <c r="AI5" s="796"/>
      <c r="AJ5" s="796"/>
      <c r="AK5" s="796"/>
      <c r="AL5" s="796"/>
      <c r="AM5" s="796"/>
      <c r="AN5" s="796"/>
      <c r="AO5" s="796"/>
      <c r="AP5" s="796"/>
      <c r="AQ5" s="796"/>
      <c r="AR5" s="796"/>
      <c r="AS5" s="796"/>
      <c r="AT5" s="796"/>
      <c r="AU5" s="796"/>
      <c r="AV5" s="796"/>
      <c r="AW5" s="796"/>
      <c r="AX5" s="796"/>
      <c r="AY5" s="796"/>
      <c r="AZ5" s="796"/>
      <c r="BA5" s="796"/>
      <c r="BB5" s="796"/>
      <c r="BC5" s="796"/>
      <c r="BD5" s="796"/>
      <c r="BE5" s="796"/>
      <c r="BF5" s="796"/>
      <c r="BG5" s="796"/>
      <c r="BH5" s="796"/>
      <c r="BI5" s="796"/>
      <c r="BJ5" s="796"/>
      <c r="BK5" s="796"/>
      <c r="BL5" s="825"/>
      <c r="BM5" s="820"/>
      <c r="BN5" s="835"/>
      <c r="BO5" s="831" t="s">
        <v>10</v>
      </c>
      <c r="BP5" s="836"/>
      <c r="BQ5" s="836"/>
      <c r="BR5" s="836"/>
      <c r="BS5" s="836"/>
      <c r="BT5" s="837"/>
      <c r="BU5" s="838"/>
      <c r="BV5" s="838"/>
      <c r="BW5" s="838"/>
      <c r="BX5" s="839" t="s">
        <v>12</v>
      </c>
      <c r="BY5" s="840"/>
      <c r="BZ5" s="840"/>
      <c r="CA5" s="841"/>
      <c r="CB5" s="821"/>
      <c r="CC5" s="948"/>
      <c r="CD5" s="821"/>
    </row>
    <row r="6" spans="1:130" ht="19.5" customHeight="1" thickBot="1" x14ac:dyDescent="0.3">
      <c r="A6" s="1"/>
      <c r="B6" s="352"/>
      <c r="C6" s="629"/>
      <c r="D6" s="1"/>
      <c r="E6" s="352"/>
      <c r="F6" s="352"/>
      <c r="G6" s="744"/>
      <c r="H6" s="744"/>
      <c r="I6" s="656"/>
      <c r="J6" s="744"/>
      <c r="K6" s="745"/>
      <c r="L6" s="746"/>
      <c r="M6" s="746"/>
      <c r="N6" s="746"/>
      <c r="O6" s="746"/>
      <c r="P6" s="648"/>
      <c r="Q6" s="2"/>
      <c r="R6" s="2"/>
      <c r="S6" s="1"/>
      <c r="T6" s="1"/>
      <c r="U6" s="1"/>
      <c r="V6" s="1"/>
      <c r="W6" s="2"/>
      <c r="X6" s="796"/>
      <c r="Y6" s="796"/>
      <c r="Z6" s="796"/>
      <c r="AA6" s="796"/>
      <c r="AB6" s="796"/>
      <c r="AC6" s="796"/>
      <c r="AD6" s="796"/>
      <c r="AE6" s="796"/>
      <c r="AF6" s="796"/>
      <c r="AG6" s="796"/>
      <c r="AH6" s="796"/>
      <c r="AI6" s="796"/>
      <c r="AJ6" s="796"/>
      <c r="AK6" s="796"/>
      <c r="AL6" s="796"/>
      <c r="AM6" s="796"/>
      <c r="AN6" s="796"/>
      <c r="AO6" s="796"/>
      <c r="AP6" s="796"/>
      <c r="AQ6" s="796"/>
      <c r="AR6" s="796"/>
      <c r="AS6" s="796"/>
      <c r="AT6" s="796"/>
      <c r="AU6" s="796"/>
      <c r="AV6" s="796"/>
      <c r="AW6" s="796"/>
      <c r="AX6" s="796"/>
      <c r="AY6" s="796"/>
      <c r="AZ6" s="796"/>
      <c r="BA6" s="796"/>
      <c r="BB6" s="796"/>
      <c r="BC6" s="796"/>
      <c r="BD6" s="796"/>
      <c r="BE6" s="796"/>
      <c r="BF6" s="796"/>
      <c r="BG6" s="796"/>
      <c r="BH6" s="796"/>
      <c r="BI6" s="796"/>
      <c r="BJ6" s="796"/>
      <c r="BK6" s="796"/>
      <c r="BL6" s="825"/>
      <c r="BM6" s="820"/>
      <c r="BN6" s="835"/>
      <c r="BO6" s="831" t="s">
        <v>11</v>
      </c>
      <c r="BP6" s="836"/>
      <c r="BQ6" s="836"/>
      <c r="BR6" s="836"/>
      <c r="BS6" s="836"/>
      <c r="BT6" s="837"/>
      <c r="BU6" s="838"/>
      <c r="BV6" s="838"/>
      <c r="BW6" s="838"/>
      <c r="BX6" s="842">
        <f>IF(O27="Restaurantes e similares","nº de refeição",IF(O27="Cinema, teatros e locais de curta permanência", "nº de lugares",0))</f>
        <v>0</v>
      </c>
      <c r="BY6" s="840" t="str">
        <f>IF(N20="Sanitário público","nº de bacias",IF(N20="Estação ferroviária, rodoviária e metroviária","nº de passageiros",IF(N20="Cinema, teatro, templo, igreja e locais de curta permanência","nº de lugares",IF(N20="Restaurantes e similares", "nº de refeições","nº de pessoas"))))</f>
        <v>nº de pessoas</v>
      </c>
      <c r="BZ6" s="840"/>
      <c r="CA6" s="843"/>
      <c r="CB6" s="825"/>
      <c r="CC6" s="950"/>
      <c r="CD6" s="825"/>
      <c r="CE6" s="796"/>
      <c r="CF6" s="796"/>
      <c r="CG6" s="796"/>
      <c r="CH6" s="796"/>
      <c r="CI6" s="796"/>
      <c r="CJ6" s="796"/>
      <c r="CK6" s="796"/>
      <c r="CL6" s="796"/>
      <c r="CM6" s="796"/>
      <c r="CN6" s="796"/>
      <c r="CO6" s="796"/>
      <c r="CP6" s="796"/>
      <c r="CQ6" s="796"/>
      <c r="CR6" s="796"/>
      <c r="CS6" s="796"/>
    </row>
    <row r="7" spans="1:130" ht="19.5" customHeight="1" thickBot="1" x14ac:dyDescent="0.3">
      <c r="A7" s="1"/>
      <c r="B7" s="7"/>
      <c r="C7" s="629"/>
      <c r="D7" s="1"/>
      <c r="E7" s="7"/>
      <c r="F7" s="352" t="s">
        <v>162</v>
      </c>
      <c r="G7" s="1083"/>
      <c r="H7" s="1084"/>
      <c r="I7" s="1084"/>
      <c r="J7" s="1085"/>
      <c r="K7" s="747"/>
      <c r="L7" s="746"/>
      <c r="M7" s="746"/>
      <c r="N7" s="746"/>
      <c r="O7" s="746"/>
      <c r="P7" s="648"/>
      <c r="Q7" s="2"/>
      <c r="R7" s="2"/>
      <c r="S7" s="1"/>
      <c r="T7" s="1"/>
      <c r="U7" s="1"/>
      <c r="V7" s="1"/>
      <c r="W7" s="2"/>
      <c r="X7" s="796"/>
      <c r="Y7" s="796"/>
      <c r="Z7" s="796"/>
      <c r="AA7" s="796"/>
      <c r="AB7" s="796"/>
      <c r="AC7" s="796"/>
      <c r="AD7" s="796"/>
      <c r="AE7" s="796"/>
      <c r="AF7" s="796"/>
      <c r="AG7" s="796"/>
      <c r="AH7" s="796"/>
      <c r="AI7" s="796"/>
      <c r="AJ7" s="796"/>
      <c r="AK7" s="796"/>
      <c r="AL7" s="796"/>
      <c r="AM7" s="796"/>
      <c r="AN7" s="796"/>
      <c r="AO7" s="796"/>
      <c r="AP7" s="796"/>
      <c r="AQ7" s="796"/>
      <c r="AR7" s="796"/>
      <c r="AS7" s="796"/>
      <c r="AT7" s="796"/>
      <c r="AU7" s="796"/>
      <c r="AV7" s="796"/>
      <c r="AW7" s="796"/>
      <c r="AX7" s="796"/>
      <c r="AY7" s="796"/>
      <c r="AZ7" s="796"/>
      <c r="BA7" s="796"/>
      <c r="BB7" s="796"/>
      <c r="BC7" s="796"/>
      <c r="BD7" s="796"/>
      <c r="BE7" s="796"/>
      <c r="BF7" s="796"/>
      <c r="BG7" s="796"/>
      <c r="BH7" s="796"/>
      <c r="BI7" s="796"/>
      <c r="BJ7" s="796"/>
      <c r="BK7" s="796"/>
      <c r="BL7" s="825"/>
      <c r="BM7" s="821"/>
      <c r="BN7" s="835"/>
      <c r="BO7" s="831" t="s">
        <v>168</v>
      </c>
      <c r="BP7" s="836"/>
      <c r="BQ7" s="836"/>
      <c r="BR7" s="836"/>
      <c r="BS7" s="836"/>
      <c r="BT7" s="837"/>
      <c r="BU7" s="838"/>
      <c r="BV7" s="838"/>
      <c r="BW7" s="838"/>
      <c r="BX7" s="839" t="s">
        <v>18</v>
      </c>
      <c r="BY7" s="840"/>
      <c r="BZ7" s="840"/>
      <c r="CA7" s="843"/>
      <c r="CB7" s="825"/>
      <c r="CC7" s="950"/>
      <c r="CD7" s="825"/>
      <c r="CE7" s="796"/>
      <c r="CF7" s="796"/>
      <c r="CG7" s="796"/>
      <c r="CH7" s="796"/>
      <c r="CI7" s="796"/>
      <c r="CJ7" s="796"/>
      <c r="CK7" s="796"/>
      <c r="CL7" s="796"/>
      <c r="CM7" s="796"/>
      <c r="CN7" s="796"/>
      <c r="CO7" s="796"/>
      <c r="CP7" s="796"/>
      <c r="CQ7" s="796"/>
      <c r="CR7" s="796"/>
      <c r="CS7" s="796"/>
    </row>
    <row r="8" spans="1:130" ht="19.5" customHeight="1" thickBot="1" x14ac:dyDescent="0.3">
      <c r="A8" s="1"/>
      <c r="B8" s="7"/>
      <c r="C8" s="629"/>
      <c r="D8" s="1"/>
      <c r="E8" s="7"/>
      <c r="F8" s="2"/>
      <c r="G8" s="745"/>
      <c r="H8" s="656"/>
      <c r="I8" s="656"/>
      <c r="J8" s="744"/>
      <c r="K8" s="745"/>
      <c r="L8" s="746"/>
      <c r="M8" s="746"/>
      <c r="N8" s="746"/>
      <c r="O8" s="746"/>
      <c r="P8" s="648"/>
      <c r="Q8" s="2"/>
      <c r="R8" s="2"/>
      <c r="S8" s="1"/>
      <c r="T8" s="1"/>
      <c r="U8" s="1"/>
      <c r="V8" s="1"/>
      <c r="W8" s="2"/>
      <c r="X8" s="796"/>
      <c r="Y8" s="796"/>
      <c r="Z8" s="796"/>
      <c r="AA8" s="796"/>
      <c r="AB8" s="796"/>
      <c r="AC8" s="796"/>
      <c r="AD8" s="796"/>
      <c r="AE8" s="796"/>
      <c r="AF8" s="796"/>
      <c r="AG8" s="796"/>
      <c r="AH8" s="796"/>
      <c r="AI8" s="796"/>
      <c r="AJ8" s="796"/>
      <c r="AK8" s="796"/>
      <c r="AL8" s="796"/>
      <c r="AM8" s="796"/>
      <c r="AN8" s="796"/>
      <c r="AO8" s="796"/>
      <c r="AP8" s="796"/>
      <c r="AQ8" s="796"/>
      <c r="AR8" s="796"/>
      <c r="AS8" s="796"/>
      <c r="AT8" s="796"/>
      <c r="AU8" s="796"/>
      <c r="AV8" s="796"/>
      <c r="AW8" s="796"/>
      <c r="AX8" s="796"/>
      <c r="AY8" s="796"/>
      <c r="AZ8" s="796"/>
      <c r="BA8" s="796"/>
      <c r="BB8" s="796"/>
      <c r="BC8" s="796"/>
      <c r="BD8" s="796"/>
      <c r="BE8" s="796"/>
      <c r="BF8" s="796"/>
      <c r="BG8" s="796"/>
      <c r="BH8" s="796"/>
      <c r="BI8" s="796"/>
      <c r="BJ8" s="796"/>
      <c r="BK8" s="796"/>
      <c r="BL8" s="825"/>
      <c r="BM8" s="821"/>
      <c r="BN8" s="835"/>
      <c r="BO8" s="831" t="s">
        <v>169</v>
      </c>
      <c r="BP8" s="836"/>
      <c r="BQ8" s="836"/>
      <c r="BR8" s="836"/>
      <c r="BS8" s="836"/>
      <c r="BT8" s="837"/>
      <c r="BU8" s="838"/>
      <c r="BV8" s="838"/>
      <c r="BW8" s="838"/>
      <c r="BX8" s="842">
        <f>IF($O$27="Restaurantes e similares","litros/refeição",IF($O$27="Cinema, teatros e locais de curta permanência", "litros/lugares",0))</f>
        <v>0</v>
      </c>
      <c r="BY8" s="840" t="str">
        <f>IF(N20="Sanitário público","litros/bacia",IF(N20="Estação ferroviária, rodoviária e metroviária","litros/passageiro",IF(N20="Restaurantes e similares", "litros/refeição",IF(N20="Cinema, teatro, templo, igreja e locais de curta permanência","litros/lugar",                                                            "litros/pessoa"))))</f>
        <v>litros/pessoa</v>
      </c>
      <c r="BZ8" s="840"/>
      <c r="CA8" s="843"/>
      <c r="CB8" s="825"/>
      <c r="CC8" s="950"/>
      <c r="CD8" s="825"/>
      <c r="CE8" s="796"/>
      <c r="CF8" s="796"/>
      <c r="CG8" s="796"/>
      <c r="CH8" s="796"/>
      <c r="CI8" s="796"/>
      <c r="CJ8" s="796"/>
      <c r="CK8" s="796"/>
      <c r="CL8" s="796"/>
      <c r="CM8" s="796"/>
      <c r="CN8" s="796"/>
      <c r="CO8" s="796"/>
      <c r="CP8" s="796"/>
      <c r="CQ8" s="796"/>
      <c r="CR8" s="796"/>
      <c r="CS8" s="796"/>
    </row>
    <row r="9" spans="1:130" ht="19.5" customHeight="1" thickBot="1" x14ac:dyDescent="0.3">
      <c r="A9" s="1"/>
      <c r="B9" s="352" t="s">
        <v>163</v>
      </c>
      <c r="C9" s="629"/>
      <c r="D9" s="1"/>
      <c r="E9" s="352"/>
      <c r="F9" s="352" t="s">
        <v>161</v>
      </c>
      <c r="G9" s="1017"/>
      <c r="H9" s="1018"/>
      <c r="I9" s="1018"/>
      <c r="J9" s="1018"/>
      <c r="K9" s="1018"/>
      <c r="L9" s="1018"/>
      <c r="M9" s="1018"/>
      <c r="N9" s="1018"/>
      <c r="O9" s="1018"/>
      <c r="P9" s="1019"/>
      <c r="Q9" s="730"/>
      <c r="R9" s="730"/>
      <c r="S9" s="1"/>
      <c r="T9" s="1"/>
      <c r="U9" s="1"/>
      <c r="V9" s="1"/>
      <c r="W9" s="2"/>
      <c r="X9" s="796"/>
      <c r="Y9" s="796"/>
      <c r="Z9" s="796"/>
      <c r="AA9" s="796"/>
      <c r="AB9" s="796"/>
      <c r="AC9" s="796"/>
      <c r="AD9" s="796"/>
      <c r="AE9" s="796"/>
      <c r="AF9" s="796"/>
      <c r="AG9" s="796"/>
      <c r="AH9" s="796"/>
      <c r="AI9" s="796"/>
      <c r="AJ9" s="796"/>
      <c r="AK9" s="796"/>
      <c r="AL9" s="796"/>
      <c r="AM9" s="796"/>
      <c r="AN9" s="796"/>
      <c r="AO9" s="796"/>
      <c r="AP9" s="796"/>
      <c r="AQ9" s="796"/>
      <c r="AR9" s="796"/>
      <c r="AS9" s="796"/>
      <c r="AT9" s="796"/>
      <c r="AU9" s="796"/>
      <c r="AV9" s="796"/>
      <c r="AW9" s="796"/>
      <c r="AX9" s="796"/>
      <c r="AY9" s="796"/>
      <c r="AZ9" s="796"/>
      <c r="BA9" s="796"/>
      <c r="BB9" s="796"/>
      <c r="BC9" s="796"/>
      <c r="BD9" s="796"/>
      <c r="BE9" s="796"/>
      <c r="BF9" s="796"/>
      <c r="BG9" s="796"/>
      <c r="BH9" s="796"/>
      <c r="BI9" s="796"/>
      <c r="BJ9" s="796"/>
      <c r="BK9" s="796"/>
      <c r="BL9" s="825"/>
      <c r="BM9" s="821"/>
      <c r="BN9" s="835"/>
      <c r="BO9" s="831" t="s">
        <v>170</v>
      </c>
      <c r="BP9" s="836"/>
      <c r="BQ9" s="836"/>
      <c r="BR9" s="836"/>
      <c r="BS9" s="836"/>
      <c r="BT9" s="837"/>
      <c r="BU9" s="838"/>
      <c r="BV9" s="838"/>
      <c r="BW9" s="838"/>
      <c r="BX9" s="839" t="s">
        <v>20</v>
      </c>
      <c r="BY9" s="840"/>
      <c r="BZ9" s="840"/>
      <c r="CA9" s="843"/>
      <c r="CB9" s="825"/>
      <c r="CC9" s="950"/>
      <c r="CD9" s="825"/>
      <c r="CE9" s="796"/>
      <c r="CF9" s="796"/>
      <c r="CG9" s="796"/>
      <c r="CH9" s="796"/>
      <c r="CI9" s="796"/>
      <c r="CJ9" s="796"/>
      <c r="CK9" s="796"/>
      <c r="CL9" s="796"/>
      <c r="CM9" s="796"/>
      <c r="CN9" s="796"/>
      <c r="CO9" s="796"/>
      <c r="CP9" s="796"/>
      <c r="CQ9" s="796"/>
      <c r="CR9" s="796"/>
      <c r="CS9" s="796"/>
    </row>
    <row r="10" spans="1:130" ht="19.5" customHeight="1" thickBot="1" x14ac:dyDescent="0.3">
      <c r="A10" s="1"/>
      <c r="B10" s="352"/>
      <c r="C10" s="629"/>
      <c r="D10" s="1"/>
      <c r="E10" s="352"/>
      <c r="F10" s="352"/>
      <c r="G10" s="744"/>
      <c r="H10" s="744"/>
      <c r="I10" s="744"/>
      <c r="J10" s="744"/>
      <c r="K10" s="745"/>
      <c r="L10" s="746"/>
      <c r="M10" s="746"/>
      <c r="N10" s="746"/>
      <c r="O10" s="746"/>
      <c r="P10" s="648"/>
      <c r="Q10" s="2"/>
      <c r="R10" s="2"/>
      <c r="S10" s="1"/>
      <c r="T10" s="1"/>
      <c r="U10" s="1"/>
      <c r="V10" s="1"/>
      <c r="W10" s="2"/>
      <c r="X10" s="796"/>
      <c r="Y10" s="796"/>
      <c r="Z10" s="796"/>
      <c r="AA10" s="796"/>
      <c r="AB10" s="796"/>
      <c r="AC10" s="796"/>
      <c r="AD10" s="796"/>
      <c r="AE10" s="796"/>
      <c r="AF10" s="796"/>
      <c r="AG10" s="796"/>
      <c r="AH10" s="796"/>
      <c r="AI10" s="796"/>
      <c r="AJ10" s="796"/>
      <c r="AK10" s="796"/>
      <c r="AL10" s="796"/>
      <c r="AM10" s="796"/>
      <c r="AN10" s="796"/>
      <c r="AO10" s="796"/>
      <c r="AP10" s="796"/>
      <c r="AQ10" s="796"/>
      <c r="AR10" s="796"/>
      <c r="AS10" s="796"/>
      <c r="AT10" s="796"/>
      <c r="AU10" s="796"/>
      <c r="AV10" s="796"/>
      <c r="AW10" s="796"/>
      <c r="AX10" s="796"/>
      <c r="AY10" s="796"/>
      <c r="AZ10" s="796"/>
      <c r="BA10" s="796"/>
      <c r="BB10" s="796"/>
      <c r="BC10" s="796"/>
      <c r="BD10" s="796"/>
      <c r="BE10" s="796"/>
      <c r="BF10" s="796"/>
      <c r="BG10" s="796"/>
      <c r="BH10" s="796"/>
      <c r="BI10" s="796"/>
      <c r="BJ10" s="796"/>
      <c r="BK10" s="796"/>
      <c r="BL10" s="825"/>
      <c r="BM10" s="820"/>
      <c r="BN10" s="835"/>
      <c r="BO10" s="831" t="s">
        <v>15</v>
      </c>
      <c r="BP10" s="836"/>
      <c r="BQ10" s="836"/>
      <c r="BR10" s="836"/>
      <c r="BS10" s="836"/>
      <c r="BT10" s="837"/>
      <c r="BU10" s="838"/>
      <c r="BV10" s="838"/>
      <c r="BW10" s="838"/>
      <c r="BX10" s="842">
        <f>IF($O$27="Restaurantes e similares","refeições",IF($O$27="Cinema, teatros e locais de curta permanência", "lugares",0))</f>
        <v>0</v>
      </c>
      <c r="BY10" s="840" t="str">
        <f>IF(N20="Sanitário público","bacias",IF(N20="Estação ferroviária, rodoviária e metroviária","passageiros",IF(N20="Restaurantes e similares", "refeições",IF(N20="Cinema, teatro, templo, igreja e locais de curta permanência", "lugares","pessoas"))))</f>
        <v>pessoas</v>
      </c>
      <c r="BZ10" s="840"/>
      <c r="CA10" s="841"/>
      <c r="CB10" s="825"/>
      <c r="CC10" s="950"/>
      <c r="CD10" s="825"/>
      <c r="CE10" s="796"/>
      <c r="CF10" s="796"/>
      <c r="CG10" s="796"/>
      <c r="CH10" s="796"/>
      <c r="CI10" s="796"/>
      <c r="CJ10" s="796"/>
      <c r="CK10" s="796"/>
      <c r="CL10" s="796"/>
      <c r="CM10" s="796"/>
      <c r="CN10" s="796"/>
      <c r="CO10" s="796"/>
      <c r="CP10" s="796"/>
      <c r="CQ10" s="796"/>
      <c r="CR10" s="796"/>
      <c r="CS10" s="796"/>
    </row>
    <row r="11" spans="1:130" ht="19.5" customHeight="1" thickBot="1" x14ac:dyDescent="0.3">
      <c r="A11" s="1"/>
      <c r="B11" s="7"/>
      <c r="C11" s="629"/>
      <c r="D11" s="1"/>
      <c r="E11" s="7"/>
      <c r="F11" s="352" t="s">
        <v>162</v>
      </c>
      <c r="G11" s="1070"/>
      <c r="H11" s="1071"/>
      <c r="I11" s="1071"/>
      <c r="J11" s="1072"/>
      <c r="K11" s="747"/>
      <c r="L11" s="746"/>
      <c r="M11" s="746"/>
      <c r="N11" s="746"/>
      <c r="O11" s="746"/>
      <c r="P11" s="648"/>
      <c r="Q11" s="2"/>
      <c r="R11" s="2"/>
      <c r="S11" s="1"/>
      <c r="T11" s="1"/>
      <c r="U11" s="1"/>
      <c r="V11" s="1"/>
      <c r="W11" s="2"/>
      <c r="X11" s="796"/>
      <c r="Y11" s="796"/>
      <c r="Z11" s="796"/>
      <c r="AA11" s="796"/>
      <c r="AB11" s="796"/>
      <c r="AC11" s="796"/>
      <c r="AD11" s="796"/>
      <c r="AE11" s="796"/>
      <c r="AF11" s="796"/>
      <c r="AG11" s="796"/>
      <c r="AH11" s="796"/>
      <c r="AI11" s="796"/>
      <c r="AJ11" s="796"/>
      <c r="AK11" s="796"/>
      <c r="AL11" s="796"/>
      <c r="AM11" s="796"/>
      <c r="AN11" s="796"/>
      <c r="AO11" s="796"/>
      <c r="AP11" s="796"/>
      <c r="AQ11" s="796"/>
      <c r="AR11" s="796"/>
      <c r="AS11" s="796"/>
      <c r="AT11" s="796"/>
      <c r="AU11" s="796"/>
      <c r="AV11" s="796"/>
      <c r="AW11" s="796"/>
      <c r="AX11" s="796"/>
      <c r="AY11" s="796"/>
      <c r="AZ11" s="796"/>
      <c r="BA11" s="796"/>
      <c r="BB11" s="796"/>
      <c r="BC11" s="796"/>
      <c r="BD11" s="796"/>
      <c r="BE11" s="796"/>
      <c r="BF11" s="796"/>
      <c r="BG11" s="796"/>
      <c r="BH11" s="796"/>
      <c r="BI11" s="796"/>
      <c r="BJ11" s="796"/>
      <c r="BK11" s="796"/>
      <c r="BL11" s="825"/>
      <c r="BM11" s="820"/>
      <c r="BN11" s="835"/>
      <c r="BO11" s="831" t="s">
        <v>171</v>
      </c>
      <c r="BP11" s="836"/>
      <c r="BQ11" s="836"/>
      <c r="BR11" s="836"/>
      <c r="BS11" s="836"/>
      <c r="BT11" s="837"/>
      <c r="BU11" s="838"/>
      <c r="BV11" s="838"/>
      <c r="BW11" s="838"/>
      <c r="BX11" s="844"/>
      <c r="BY11" s="845"/>
      <c r="BZ11" s="845"/>
      <c r="CA11" s="846"/>
      <c r="CB11" s="825"/>
      <c r="CC11" s="950"/>
      <c r="CD11" s="825"/>
      <c r="CE11" s="796"/>
      <c r="CF11" s="796"/>
      <c r="CG11" s="796"/>
      <c r="CH11" s="796"/>
      <c r="CI11" s="796"/>
      <c r="CJ11" s="796"/>
      <c r="CK11" s="796"/>
      <c r="CL11" s="796"/>
      <c r="CM11" s="796"/>
      <c r="CN11" s="796"/>
      <c r="CO11" s="796"/>
      <c r="CP11" s="796"/>
      <c r="CQ11" s="796"/>
      <c r="CR11" s="796"/>
      <c r="CS11" s="796"/>
    </row>
    <row r="12" spans="1:130" ht="19.5" customHeight="1" thickBot="1" x14ac:dyDescent="0.3">
      <c r="A12" s="1"/>
      <c r="B12" s="7"/>
      <c r="C12" s="629"/>
      <c r="D12" s="1"/>
      <c r="E12" s="7"/>
      <c r="F12" s="352"/>
      <c r="G12" s="656"/>
      <c r="H12" s="656"/>
      <c r="I12" s="656"/>
      <c r="J12" s="656"/>
      <c r="K12" s="745"/>
      <c r="L12" s="746"/>
      <c r="M12" s="746"/>
      <c r="N12" s="746"/>
      <c r="O12" s="746"/>
      <c r="P12" s="648"/>
      <c r="Q12" s="2"/>
      <c r="R12" s="2"/>
      <c r="S12" s="1"/>
      <c r="T12" s="1"/>
      <c r="U12" s="1"/>
      <c r="V12" s="1"/>
      <c r="W12" s="2"/>
      <c r="X12" s="796"/>
      <c r="Y12" s="796"/>
      <c r="Z12" s="796"/>
      <c r="AA12" s="796"/>
      <c r="AB12" s="796"/>
      <c r="AC12" s="796"/>
      <c r="AD12" s="796"/>
      <c r="AE12" s="796"/>
      <c r="AF12" s="796"/>
      <c r="AG12" s="796"/>
      <c r="AH12" s="796"/>
      <c r="AI12" s="796"/>
      <c r="AJ12" s="796"/>
      <c r="AK12" s="796"/>
      <c r="AL12" s="796"/>
      <c r="AM12" s="796"/>
      <c r="AN12" s="796"/>
      <c r="AO12" s="796"/>
      <c r="AP12" s="796"/>
      <c r="AQ12" s="796"/>
      <c r="AR12" s="796"/>
      <c r="AS12" s="796"/>
      <c r="AT12" s="796"/>
      <c r="AU12" s="796"/>
      <c r="AV12" s="796"/>
      <c r="AW12" s="796"/>
      <c r="AX12" s="796"/>
      <c r="AY12" s="796"/>
      <c r="AZ12" s="796"/>
      <c r="BA12" s="796"/>
      <c r="BB12" s="796"/>
      <c r="BC12" s="796"/>
      <c r="BD12" s="796"/>
      <c r="BE12" s="796"/>
      <c r="BF12" s="796"/>
      <c r="BG12" s="796"/>
      <c r="BH12" s="796"/>
      <c r="BI12" s="796"/>
      <c r="BJ12" s="796"/>
      <c r="BK12" s="796"/>
      <c r="BL12" s="825"/>
      <c r="BM12" s="820"/>
      <c r="BN12" s="835"/>
      <c r="BO12" s="847" t="s">
        <v>172</v>
      </c>
      <c r="BP12" s="836"/>
      <c r="BQ12" s="836"/>
      <c r="BR12" s="836"/>
      <c r="BS12" s="836"/>
      <c r="BT12" s="837"/>
      <c r="BU12" s="838"/>
      <c r="BV12" s="838"/>
      <c r="BW12" s="838"/>
      <c r="BX12" s="839"/>
      <c r="BY12" s="840"/>
      <c r="BZ12" s="840"/>
      <c r="CA12" s="841"/>
      <c r="CB12" s="825"/>
      <c r="CC12" s="950"/>
      <c r="CD12" s="825"/>
      <c r="CE12" s="796"/>
      <c r="CF12" s="796"/>
      <c r="CG12" s="796"/>
      <c r="CH12" s="796"/>
      <c r="CI12" s="796"/>
      <c r="CJ12" s="796"/>
      <c r="CK12" s="796"/>
      <c r="CL12" s="796"/>
      <c r="CM12" s="796"/>
      <c r="CN12" s="796"/>
      <c r="CO12" s="796"/>
      <c r="CP12" s="796"/>
      <c r="CQ12" s="796"/>
      <c r="CR12" s="796"/>
      <c r="CS12" s="796"/>
    </row>
    <row r="13" spans="1:130" ht="19.5" customHeight="1" thickBot="1" x14ac:dyDescent="0.3">
      <c r="A13" s="1"/>
      <c r="B13" s="7"/>
      <c r="C13" s="629"/>
      <c r="D13" s="1"/>
      <c r="E13" s="7"/>
      <c r="F13" s="354" t="s">
        <v>348</v>
      </c>
      <c r="G13" s="1017" t="s">
        <v>352</v>
      </c>
      <c r="H13" s="1019"/>
      <c r="I13" s="655"/>
      <c r="J13" s="1078" t="s">
        <v>376</v>
      </c>
      <c r="K13" s="1079"/>
      <c r="L13" s="1080"/>
      <c r="M13" s="1081"/>
      <c r="N13" s="1081"/>
      <c r="O13" s="1081"/>
      <c r="P13" s="1082"/>
      <c r="Q13" s="30"/>
      <c r="R13" s="30"/>
      <c r="S13" s="1"/>
      <c r="T13" s="1"/>
      <c r="U13" s="1"/>
      <c r="V13" s="1"/>
      <c r="W13" s="2"/>
      <c r="X13" s="796"/>
      <c r="Y13" s="796"/>
      <c r="Z13" s="796"/>
      <c r="AA13" s="796"/>
      <c r="AB13" s="796"/>
      <c r="AC13" s="796"/>
      <c r="AD13" s="796"/>
      <c r="AE13" s="796"/>
      <c r="AF13" s="796"/>
      <c r="AG13" s="796"/>
      <c r="AH13" s="796"/>
      <c r="AI13" s="796"/>
      <c r="AJ13" s="796"/>
      <c r="AK13" s="796"/>
      <c r="AL13" s="796"/>
      <c r="AM13" s="796"/>
      <c r="AN13" s="796"/>
      <c r="AO13" s="796"/>
      <c r="AP13" s="796"/>
      <c r="AQ13" s="796"/>
      <c r="AR13" s="796"/>
      <c r="AS13" s="796"/>
      <c r="AT13" s="796"/>
      <c r="AU13" s="796"/>
      <c r="AV13" s="796"/>
      <c r="AW13" s="796"/>
      <c r="AX13" s="796"/>
      <c r="AY13" s="796"/>
      <c r="AZ13" s="796"/>
      <c r="BA13" s="796"/>
      <c r="BB13" s="796"/>
      <c r="BC13" s="796"/>
      <c r="BD13" s="796"/>
      <c r="BE13" s="796"/>
      <c r="BF13" s="796"/>
      <c r="BG13" s="796"/>
      <c r="BH13" s="796"/>
      <c r="BI13" s="796"/>
      <c r="BJ13" s="796"/>
      <c r="BK13" s="796"/>
      <c r="BL13" s="820" t="s">
        <v>352</v>
      </c>
      <c r="BM13" s="820"/>
      <c r="BN13" s="835"/>
      <c r="BO13" s="847" t="s">
        <v>173</v>
      </c>
      <c r="BP13" s="836"/>
      <c r="BQ13" s="836"/>
      <c r="BR13" s="836"/>
      <c r="BS13" s="836"/>
      <c r="BT13" s="837"/>
      <c r="BU13" s="838"/>
      <c r="BV13" s="838"/>
      <c r="BW13" s="838"/>
      <c r="BX13" s="848"/>
      <c r="BY13" s="849"/>
      <c r="BZ13" s="849"/>
      <c r="CA13" s="850"/>
      <c r="CB13" s="825"/>
      <c r="CC13" s="950"/>
      <c r="CD13" s="825"/>
      <c r="CE13" s="796"/>
      <c r="CF13" s="796"/>
      <c r="CG13" s="796"/>
      <c r="CH13" s="796"/>
      <c r="CI13" s="796"/>
      <c r="CJ13" s="796"/>
      <c r="CK13" s="796"/>
      <c r="CL13" s="796"/>
      <c r="CM13" s="796"/>
      <c r="CN13" s="796"/>
      <c r="CO13" s="796"/>
      <c r="CP13" s="796"/>
      <c r="CQ13" s="796"/>
      <c r="CR13" s="796"/>
      <c r="CS13" s="796"/>
    </row>
    <row r="14" spans="1:130" ht="19.5" customHeight="1" thickBot="1" x14ac:dyDescent="0.3">
      <c r="A14" s="1"/>
      <c r="B14" s="7"/>
      <c r="C14" s="629"/>
      <c r="D14" s="1"/>
      <c r="E14" s="7"/>
      <c r="F14" s="355"/>
      <c r="G14" s="744"/>
      <c r="H14" s="744"/>
      <c r="I14" s="656"/>
      <c r="J14" s="744"/>
      <c r="K14" s="744"/>
      <c r="L14" s="746"/>
      <c r="M14" s="746"/>
      <c r="N14" s="746"/>
      <c r="O14" s="746"/>
      <c r="P14" s="648"/>
      <c r="Q14" s="2"/>
      <c r="R14" s="2"/>
      <c r="S14" s="1"/>
      <c r="T14" s="1"/>
      <c r="U14" s="1"/>
      <c r="V14" s="1"/>
      <c r="W14" s="2"/>
      <c r="X14" s="796"/>
      <c r="Y14" s="796"/>
      <c r="Z14" s="796"/>
      <c r="AA14" s="796"/>
      <c r="AB14" s="796"/>
      <c r="AC14" s="796"/>
      <c r="AD14" s="796"/>
      <c r="AE14" s="796"/>
      <c r="AF14" s="796"/>
      <c r="AG14" s="796"/>
      <c r="AH14" s="796"/>
      <c r="AI14" s="796"/>
      <c r="AJ14" s="796"/>
      <c r="AK14" s="796"/>
      <c r="AL14" s="796"/>
      <c r="AM14" s="796"/>
      <c r="AN14" s="796"/>
      <c r="AO14" s="796"/>
      <c r="AP14" s="796"/>
      <c r="AQ14" s="796"/>
      <c r="AR14" s="796"/>
      <c r="AS14" s="796"/>
      <c r="AT14" s="796"/>
      <c r="AU14" s="796"/>
      <c r="AV14" s="796"/>
      <c r="AW14" s="796"/>
      <c r="AX14" s="796"/>
      <c r="AY14" s="796"/>
      <c r="AZ14" s="796"/>
      <c r="BA14" s="796"/>
      <c r="BB14" s="796"/>
      <c r="BC14" s="796"/>
      <c r="BD14" s="796"/>
      <c r="BE14" s="796"/>
      <c r="BF14" s="796"/>
      <c r="BG14" s="796"/>
      <c r="BH14" s="796"/>
      <c r="BI14" s="796"/>
      <c r="BJ14" s="796"/>
      <c r="BK14" s="796"/>
      <c r="BL14" s="820" t="s">
        <v>164</v>
      </c>
      <c r="BM14" s="820"/>
      <c r="BN14" s="835"/>
      <c r="BO14" s="847" t="s">
        <v>174</v>
      </c>
      <c r="BP14" s="836"/>
      <c r="BQ14" s="836"/>
      <c r="BR14" s="836"/>
      <c r="BS14" s="836"/>
      <c r="BT14" s="837"/>
      <c r="BU14" s="838"/>
      <c r="BV14" s="838"/>
      <c r="BW14" s="838"/>
      <c r="BX14" s="839"/>
      <c r="BY14" s="840"/>
      <c r="BZ14" s="840"/>
      <c r="CA14" s="841"/>
      <c r="CB14" s="825"/>
      <c r="CC14" s="950"/>
      <c r="CD14" s="825"/>
      <c r="CE14" s="796"/>
      <c r="CF14" s="796"/>
      <c r="CG14" s="796"/>
      <c r="CH14" s="796"/>
      <c r="CI14" s="796"/>
      <c r="CJ14" s="796"/>
      <c r="CK14" s="796"/>
      <c r="CL14" s="796"/>
      <c r="CM14" s="796"/>
      <c r="CN14" s="796"/>
      <c r="CO14" s="796"/>
      <c r="CP14" s="796"/>
      <c r="CQ14" s="796"/>
      <c r="CR14" s="796"/>
      <c r="CS14" s="796"/>
    </row>
    <row r="15" spans="1:130" ht="19.5" customHeight="1" thickBot="1" x14ac:dyDescent="0.3">
      <c r="A15" s="1"/>
      <c r="B15" s="7"/>
      <c r="C15" s="629"/>
      <c r="D15" s="1"/>
      <c r="E15" s="7"/>
      <c r="F15" s="352" t="s">
        <v>333</v>
      </c>
      <c r="G15" s="1073"/>
      <c r="H15" s="1074"/>
      <c r="I15" s="1074"/>
      <c r="J15" s="1075"/>
      <c r="K15" s="748"/>
      <c r="L15" s="748"/>
      <c r="M15" s="748"/>
      <c r="N15" s="748"/>
      <c r="O15" s="748"/>
      <c r="P15" s="749"/>
      <c r="Q15" s="683"/>
      <c r="R15" s="683"/>
      <c r="S15" s="1"/>
      <c r="T15" s="1"/>
      <c r="U15" s="1"/>
      <c r="V15" s="1"/>
      <c r="W15" s="2"/>
      <c r="X15" s="796"/>
      <c r="Y15" s="796"/>
      <c r="Z15" s="796"/>
      <c r="AA15" s="796"/>
      <c r="AB15" s="796"/>
      <c r="AC15" s="796"/>
      <c r="AD15" s="796"/>
      <c r="AE15" s="796"/>
      <c r="AF15" s="796"/>
      <c r="AG15" s="796"/>
      <c r="AH15" s="796"/>
      <c r="AI15" s="796"/>
      <c r="AJ15" s="796"/>
      <c r="AK15" s="796"/>
      <c r="AL15" s="796"/>
      <c r="AM15" s="796"/>
      <c r="AN15" s="796"/>
      <c r="AO15" s="796"/>
      <c r="AP15" s="796"/>
      <c r="AQ15" s="796"/>
      <c r="AR15" s="796"/>
      <c r="AS15" s="796"/>
      <c r="AT15" s="796"/>
      <c r="AU15" s="796"/>
      <c r="AV15" s="796"/>
      <c r="AW15" s="796"/>
      <c r="AX15" s="796"/>
      <c r="AY15" s="796"/>
      <c r="AZ15" s="796"/>
      <c r="BA15" s="796"/>
      <c r="BB15" s="796"/>
      <c r="BC15" s="796"/>
      <c r="BD15" s="796"/>
      <c r="BE15" s="796"/>
      <c r="BF15" s="796"/>
      <c r="BG15" s="796"/>
      <c r="BH15" s="796"/>
      <c r="BI15" s="796"/>
      <c r="BJ15" s="796"/>
      <c r="BK15" s="796"/>
      <c r="BL15" s="820" t="s">
        <v>332</v>
      </c>
      <c r="BM15" s="820"/>
      <c r="BN15" s="835"/>
      <c r="BO15" s="851" t="s">
        <v>175</v>
      </c>
      <c r="BP15" s="836"/>
      <c r="BQ15" s="836"/>
      <c r="BR15" s="836"/>
      <c r="BS15" s="836"/>
      <c r="BT15" s="837"/>
      <c r="BU15" s="838"/>
      <c r="BV15" s="838"/>
      <c r="BW15" s="838"/>
      <c r="BX15" s="839" t="s">
        <v>26</v>
      </c>
      <c r="BY15" s="840"/>
      <c r="BZ15" s="840"/>
      <c r="CA15" s="843"/>
      <c r="CB15" s="825"/>
      <c r="CC15" s="950"/>
      <c r="CD15" s="825"/>
      <c r="CE15" s="796"/>
      <c r="CF15" s="796"/>
      <c r="CG15" s="796"/>
      <c r="CH15" s="796"/>
      <c r="CI15" s="796"/>
      <c r="CJ15" s="796"/>
      <c r="CK15" s="796"/>
      <c r="CL15" s="796"/>
      <c r="CM15" s="796"/>
      <c r="CN15" s="796"/>
      <c r="CO15" s="796"/>
      <c r="CP15" s="796"/>
      <c r="CQ15" s="796"/>
      <c r="CR15" s="796"/>
      <c r="CS15" s="796"/>
    </row>
    <row r="16" spans="1:130" ht="19.5" customHeight="1" x14ac:dyDescent="0.25">
      <c r="A16" s="1"/>
      <c r="B16" s="1"/>
      <c r="C16" s="629"/>
      <c r="D16" s="1"/>
      <c r="E16" s="1"/>
      <c r="F16" s="1"/>
      <c r="G16" s="1"/>
      <c r="H16" s="7"/>
      <c r="I16" s="2"/>
      <c r="J16" s="353"/>
      <c r="K16" s="355"/>
      <c r="L16" s="353"/>
      <c r="M16" s="8"/>
      <c r="N16" s="14"/>
      <c r="O16" s="14"/>
      <c r="P16" s="6"/>
      <c r="Q16" s="1"/>
      <c r="R16" s="1"/>
      <c r="S16" s="1"/>
      <c r="T16" s="1"/>
      <c r="U16" s="1"/>
      <c r="V16" s="2"/>
      <c r="W16" s="1"/>
      <c r="X16" s="796"/>
      <c r="Y16" s="796"/>
      <c r="Z16" s="796"/>
      <c r="AA16" s="796"/>
      <c r="AB16" s="796"/>
      <c r="AC16" s="796"/>
      <c r="AD16" s="796"/>
      <c r="AE16" s="796"/>
      <c r="AF16" s="796"/>
      <c r="AG16" s="796"/>
      <c r="AH16" s="796"/>
      <c r="AI16" s="796"/>
      <c r="AJ16" s="796"/>
      <c r="AK16" s="796"/>
      <c r="AL16" s="796"/>
      <c r="AM16" s="796"/>
      <c r="AN16" s="796"/>
      <c r="AO16" s="796"/>
      <c r="AP16" s="796"/>
      <c r="AQ16" s="796"/>
      <c r="AR16" s="796"/>
      <c r="AS16" s="796"/>
      <c r="AT16" s="796"/>
      <c r="AU16" s="796"/>
      <c r="AV16" s="796"/>
      <c r="AW16" s="796"/>
      <c r="AX16" s="796"/>
      <c r="AY16" s="796"/>
      <c r="AZ16" s="796"/>
      <c r="BA16" s="796"/>
      <c r="BB16" s="796"/>
      <c r="BC16" s="796"/>
      <c r="BD16" s="796"/>
      <c r="BE16" s="796"/>
      <c r="BF16" s="796"/>
      <c r="BG16" s="796"/>
      <c r="BH16" s="796"/>
      <c r="BI16" s="796"/>
      <c r="BJ16" s="796"/>
      <c r="BK16" s="796"/>
      <c r="BL16" s="825"/>
      <c r="BM16" s="820"/>
      <c r="BN16" s="852"/>
      <c r="BO16" s="853" t="s">
        <v>17</v>
      </c>
      <c r="BP16" s="854"/>
      <c r="BQ16" s="854"/>
      <c r="BR16" s="854"/>
      <c r="BS16" s="854"/>
      <c r="BT16" s="855"/>
      <c r="BU16" s="856"/>
      <c r="BV16" s="856"/>
      <c r="BW16" s="856"/>
      <c r="BX16" s="839">
        <f>IF($O$27="Resid. Padrão Alto",1,IF($O$27="Resid. Padrão Médio",1,IF($O$27="Resid. Padrão Baixo",1,IF($O$27="Hotel (exceto banheira, lavanderia e cozinha)",1,IF($O$27="Hotel com cozinha e lavanderia, exceto banheira",1,IF($O$27="Hotel com cozinha, lavanderia e banheira",1,IF($O$27="Alojamento Provisório",1,IF($O$27="Orfanato - Asilo",1,IF($O$27="Escola (internato)",1,IF($O$27="Presídio",1,IF($O$27="Quartel",1,IF($O$27="Área rural",1,IF($O$27="Fábrica em Geral",0.3,0)))))))))))))</f>
        <v>1</v>
      </c>
      <c r="BY16" s="840">
        <f>IF($O$27="Escritório",0.2,IF($O$27="Edifício público ou comercial",0.2,IF($O$27="Escola de meio período",0.2,IF($O$27="Escola de período integral",0.3,IF($O$27="Creche",0.2,IF($O$27="Bar",0.1,0))))))</f>
        <v>0</v>
      </c>
      <c r="BZ16" s="840">
        <f>IF($O$27="Restaurantes e similares",0.1,IF($O$27="Cinema, teatro, templo, igreja e locais de curta permanência",0.02,0))</f>
        <v>0</v>
      </c>
      <c r="CA16" s="841">
        <f>IF($O$27="Ambulatório",0.2,IF($O$27="Estação ferroviária, rodoviária e metroviária",0.2,IF($O$27="Sanitário público",4,0)))</f>
        <v>0</v>
      </c>
      <c r="CB16" s="857"/>
      <c r="CC16" s="951"/>
      <c r="CD16" s="857"/>
      <c r="CE16" s="799"/>
      <c r="CF16" s="799"/>
      <c r="CG16" s="799"/>
      <c r="CH16" s="799"/>
      <c r="CI16" s="799"/>
      <c r="CJ16" s="799"/>
      <c r="CK16" s="799"/>
      <c r="CL16" s="799"/>
      <c r="CM16" s="799"/>
      <c r="CN16" s="799"/>
      <c r="CO16" s="799"/>
      <c r="CP16" s="799"/>
      <c r="CQ16" s="799"/>
      <c r="CR16" s="799"/>
      <c r="CS16" s="799"/>
      <c r="CT16" s="606"/>
      <c r="CU16" s="606"/>
      <c r="CV16" s="606"/>
      <c r="CW16" s="606"/>
      <c r="CX16" s="606"/>
      <c r="CY16" s="606"/>
      <c r="CZ16" s="606"/>
      <c r="DA16" s="606"/>
      <c r="DB16" s="606"/>
      <c r="DC16" s="606"/>
      <c r="DD16" s="606"/>
      <c r="DE16" s="606"/>
      <c r="DF16" s="606"/>
      <c r="DG16" s="606"/>
      <c r="DH16" s="606"/>
      <c r="DI16" s="606"/>
      <c r="DJ16" s="606"/>
      <c r="DK16" s="606"/>
      <c r="DL16" s="606"/>
      <c r="DM16" s="606"/>
      <c r="DN16" s="606"/>
      <c r="DO16" s="606"/>
      <c r="DP16" s="606"/>
      <c r="DQ16" s="606"/>
      <c r="DR16" s="606"/>
      <c r="DS16" s="606"/>
      <c r="DT16" s="606"/>
      <c r="DU16" s="606"/>
      <c r="DV16" s="606"/>
      <c r="DW16" s="606"/>
      <c r="DX16" s="606"/>
      <c r="DY16" s="606"/>
      <c r="DZ16" s="606"/>
    </row>
    <row r="17" spans="1:130" ht="18.75" x14ac:dyDescent="0.3">
      <c r="A17" s="1"/>
      <c r="B17" s="4" t="s">
        <v>0</v>
      </c>
      <c r="C17" s="629"/>
      <c r="D17" s="1"/>
      <c r="E17" s="1"/>
      <c r="F17" s="1"/>
      <c r="G17" s="1"/>
      <c r="H17" s="4"/>
      <c r="I17" s="5"/>
      <c r="J17" s="6"/>
      <c r="K17" s="34"/>
      <c r="L17" s="623"/>
      <c r="M17" s="6"/>
      <c r="N17" s="2"/>
      <c r="O17" s="2"/>
      <c r="P17" s="1"/>
      <c r="Q17" s="1"/>
      <c r="R17" s="1"/>
      <c r="S17" s="1"/>
      <c r="T17" s="1"/>
      <c r="U17" s="1"/>
      <c r="V17" s="2"/>
      <c r="W17" s="1"/>
      <c r="X17" s="796"/>
      <c r="Y17" s="796"/>
      <c r="Z17" s="796"/>
      <c r="AA17" s="796"/>
      <c r="AB17" s="796"/>
      <c r="AC17" s="796"/>
      <c r="AD17" s="796"/>
      <c r="AE17" s="796"/>
      <c r="AF17" s="796"/>
      <c r="AG17" s="796"/>
      <c r="AH17" s="796"/>
      <c r="AI17" s="796"/>
      <c r="AJ17" s="796"/>
      <c r="AK17" s="796"/>
      <c r="AL17" s="796"/>
      <c r="AM17" s="796"/>
      <c r="AN17" s="796"/>
      <c r="AO17" s="796"/>
      <c r="AP17" s="796"/>
      <c r="AQ17" s="796"/>
      <c r="AR17" s="796"/>
      <c r="AS17" s="796"/>
      <c r="AT17" s="796"/>
      <c r="AU17" s="796"/>
      <c r="AV17" s="796"/>
      <c r="AW17" s="796"/>
      <c r="AX17" s="796"/>
      <c r="AY17" s="796"/>
      <c r="AZ17" s="796"/>
      <c r="BA17" s="796"/>
      <c r="BB17" s="796"/>
      <c r="BC17" s="796"/>
      <c r="BD17" s="796"/>
      <c r="BE17" s="796"/>
      <c r="BF17" s="796"/>
      <c r="BG17" s="796"/>
      <c r="BH17" s="796"/>
      <c r="BI17" s="796"/>
      <c r="BJ17" s="796"/>
      <c r="BK17" s="796"/>
      <c r="BL17" s="825"/>
      <c r="BM17" s="820"/>
      <c r="BN17" s="852"/>
      <c r="BO17" s="858" t="s">
        <v>16</v>
      </c>
      <c r="BP17" s="854"/>
      <c r="BQ17" s="854"/>
      <c r="BR17" s="854"/>
      <c r="BS17" s="854"/>
      <c r="BT17" s="855"/>
      <c r="BU17" s="856"/>
      <c r="BV17" s="856"/>
      <c r="BW17" s="856"/>
      <c r="BX17" s="839" t="s">
        <v>27</v>
      </c>
      <c r="BY17" s="840"/>
      <c r="BZ17" s="840"/>
      <c r="CA17" s="841"/>
      <c r="CB17" s="857"/>
      <c r="CC17" s="951"/>
      <c r="CD17" s="857"/>
      <c r="CE17" s="799"/>
      <c r="CF17" s="799"/>
      <c r="CG17" s="799"/>
      <c r="CH17" s="799"/>
      <c r="CI17" s="799"/>
      <c r="CJ17" s="799"/>
      <c r="CK17" s="799"/>
      <c r="CL17" s="799"/>
      <c r="CM17" s="799"/>
      <c r="CN17" s="799"/>
      <c r="CO17" s="799"/>
      <c r="CP17" s="799"/>
      <c r="CQ17" s="799"/>
      <c r="CR17" s="799"/>
      <c r="CS17" s="799"/>
      <c r="CT17" s="606"/>
      <c r="CU17" s="606"/>
      <c r="CV17" s="606"/>
      <c r="CW17" s="606"/>
      <c r="CX17" s="606"/>
      <c r="CY17" s="606"/>
      <c r="CZ17" s="606"/>
      <c r="DA17" s="606"/>
      <c r="DB17" s="606"/>
      <c r="DC17" s="606"/>
      <c r="DD17" s="606"/>
      <c r="DE17" s="606"/>
      <c r="DF17" s="606"/>
      <c r="DG17" s="606"/>
      <c r="DH17" s="606"/>
      <c r="DI17" s="606"/>
      <c r="DJ17" s="606"/>
      <c r="DK17" s="606"/>
      <c r="DL17" s="606"/>
      <c r="DM17" s="606"/>
      <c r="DN17" s="606"/>
      <c r="DO17" s="606"/>
      <c r="DP17" s="606"/>
      <c r="DQ17" s="606"/>
      <c r="DR17" s="606"/>
      <c r="DS17" s="606"/>
      <c r="DT17" s="606"/>
      <c r="DU17" s="606"/>
      <c r="DV17" s="606"/>
      <c r="DW17" s="606"/>
      <c r="DX17" s="606"/>
      <c r="DY17" s="606"/>
      <c r="DZ17" s="606"/>
    </row>
    <row r="18" spans="1:130" ht="16.5" thickBot="1" x14ac:dyDescent="0.3">
      <c r="A18" s="1"/>
      <c r="B18" s="1"/>
      <c r="C18" s="629"/>
      <c r="D18" s="1"/>
      <c r="E18" s="1"/>
      <c r="F18" s="1"/>
      <c r="G18" s="7"/>
      <c r="H18" s="1"/>
      <c r="I18" s="8"/>
      <c r="J18" s="8"/>
      <c r="K18" s="355"/>
      <c r="L18" s="353"/>
      <c r="M18" s="2"/>
      <c r="N18" s="2"/>
      <c r="O18" s="1"/>
      <c r="P18" s="1"/>
      <c r="Q18" s="1"/>
      <c r="R18" s="1"/>
      <c r="S18" s="1"/>
      <c r="T18" s="2"/>
      <c r="U18" s="2"/>
      <c r="V18" s="1"/>
      <c r="W18" s="1"/>
      <c r="X18" s="796"/>
      <c r="Y18" s="796"/>
      <c r="Z18" s="796"/>
      <c r="AA18" s="796"/>
      <c r="AB18" s="796"/>
      <c r="AC18" s="796"/>
      <c r="AD18" s="796"/>
      <c r="AE18" s="796"/>
      <c r="AF18" s="796"/>
      <c r="AG18" s="796"/>
      <c r="AH18" s="796"/>
      <c r="AI18" s="796"/>
      <c r="AJ18" s="796"/>
      <c r="AK18" s="796"/>
      <c r="AL18" s="796"/>
      <c r="AM18" s="796"/>
      <c r="AN18" s="796"/>
      <c r="AO18" s="796"/>
      <c r="AP18" s="796"/>
      <c r="AQ18" s="796"/>
      <c r="AR18" s="796"/>
      <c r="AS18" s="796"/>
      <c r="AT18" s="796"/>
      <c r="AU18" s="796"/>
      <c r="AV18" s="796"/>
      <c r="AW18" s="796"/>
      <c r="AX18" s="796"/>
      <c r="AY18" s="796"/>
      <c r="AZ18" s="796"/>
      <c r="BA18" s="796"/>
      <c r="BB18" s="796"/>
      <c r="BC18" s="796"/>
      <c r="BD18" s="796"/>
      <c r="BE18" s="796"/>
      <c r="BF18" s="796"/>
      <c r="BG18" s="796"/>
      <c r="BH18" s="796"/>
      <c r="BI18" s="796"/>
      <c r="BJ18" s="796"/>
      <c r="BK18" s="796"/>
      <c r="BL18" s="825"/>
      <c r="BM18" s="820"/>
      <c r="BN18" s="852"/>
      <c r="BO18" s="858" t="s">
        <v>19</v>
      </c>
      <c r="BP18" s="854"/>
      <c r="BQ18" s="854"/>
      <c r="BR18" s="854"/>
      <c r="BS18" s="854"/>
      <c r="BT18" s="855"/>
      <c r="BU18" s="856"/>
      <c r="BV18" s="856"/>
      <c r="BW18" s="856"/>
      <c r="BX18" s="839">
        <f>IF(U46&lt;=1500,1,IF(AND(1500&lt;U46,U46&lt;=3000),0.92,IF(AND(3000&lt;U46,U46&lt;=4500),0.83,IF(AND(4500&lt;U46,U46&lt;=6000),0.75,0))))</f>
        <v>1</v>
      </c>
      <c r="BY18" s="840">
        <f>IF(AND(6000&lt;U46,U46&lt;=7500),0.67,IF(AND(7500&lt;U46,U46&lt;=9000),0.58,0.5))</f>
        <v>0.5</v>
      </c>
      <c r="BZ18" s="840"/>
      <c r="CA18" s="841"/>
      <c r="CB18" s="857"/>
      <c r="CC18" s="951"/>
      <c r="CD18" s="857"/>
      <c r="CE18" s="799"/>
      <c r="CF18" s="799"/>
      <c r="CG18" s="799"/>
      <c r="CH18" s="799"/>
      <c r="CI18" s="799"/>
      <c r="CJ18" s="799"/>
      <c r="CK18" s="799"/>
      <c r="CL18" s="799"/>
      <c r="CM18" s="799"/>
      <c r="CN18" s="799"/>
      <c r="CO18" s="799"/>
      <c r="CP18" s="799"/>
      <c r="CQ18" s="799"/>
      <c r="CR18" s="799"/>
      <c r="CS18" s="799"/>
      <c r="CT18" s="606"/>
      <c r="CU18" s="606"/>
      <c r="CV18" s="606"/>
      <c r="CW18" s="606"/>
      <c r="CX18" s="606"/>
      <c r="CY18" s="606"/>
      <c r="CZ18" s="606"/>
      <c r="DA18" s="606"/>
      <c r="DB18" s="606"/>
      <c r="DC18" s="606"/>
      <c r="DD18" s="606"/>
      <c r="DE18" s="606"/>
      <c r="DF18" s="606"/>
      <c r="DG18" s="606"/>
      <c r="DH18" s="606"/>
      <c r="DI18" s="606"/>
      <c r="DJ18" s="606"/>
      <c r="DK18" s="606"/>
      <c r="DL18" s="606"/>
      <c r="DM18" s="606"/>
      <c r="DN18" s="606"/>
      <c r="DO18" s="606"/>
      <c r="DP18" s="606"/>
      <c r="DQ18" s="606"/>
      <c r="DR18" s="606"/>
      <c r="DS18" s="606"/>
      <c r="DT18" s="606"/>
      <c r="DU18" s="606"/>
      <c r="DV18" s="606"/>
      <c r="DW18" s="606"/>
      <c r="DX18" s="606"/>
      <c r="DY18" s="606"/>
      <c r="DZ18" s="606"/>
    </row>
    <row r="19" spans="1:130" ht="13.5" customHeight="1" thickBot="1" x14ac:dyDescent="0.3">
      <c r="A19" s="1"/>
      <c r="B19" s="9"/>
      <c r="C19" s="674"/>
      <c r="D19" s="11"/>
      <c r="E19" s="11"/>
      <c r="F19" s="10"/>
      <c r="G19" s="11"/>
      <c r="H19" s="12"/>
      <c r="I19" s="13"/>
      <c r="J19" s="14"/>
      <c r="K19" s="649"/>
      <c r="L19" s="364"/>
      <c r="M19" s="365"/>
      <c r="N19" s="365"/>
      <c r="O19" s="365"/>
      <c r="P19" s="365"/>
      <c r="Q19" s="365"/>
      <c r="R19" s="364"/>
      <c r="S19" s="365"/>
      <c r="T19" s="365"/>
      <c r="U19" s="365"/>
      <c r="V19" s="366"/>
      <c r="W19" s="1"/>
      <c r="X19" s="796"/>
      <c r="Y19" s="796"/>
      <c r="Z19" s="796"/>
      <c r="AA19" s="796"/>
      <c r="AB19" s="796"/>
      <c r="AC19" s="796"/>
      <c r="AD19" s="796"/>
      <c r="AE19" s="796"/>
      <c r="AF19" s="796"/>
      <c r="AG19" s="796"/>
      <c r="AH19" s="796"/>
      <c r="AI19" s="796"/>
      <c r="AJ19" s="796"/>
      <c r="AK19" s="796"/>
      <c r="AL19" s="796"/>
      <c r="AM19" s="796"/>
      <c r="AN19" s="796"/>
      <c r="AO19" s="796"/>
      <c r="AP19" s="796"/>
      <c r="AQ19" s="796"/>
      <c r="AR19" s="796"/>
      <c r="AS19" s="796"/>
      <c r="AT19" s="796"/>
      <c r="AU19" s="796"/>
      <c r="AV19" s="796"/>
      <c r="AW19" s="796"/>
      <c r="AX19" s="796"/>
      <c r="AY19" s="796"/>
      <c r="AZ19" s="796"/>
      <c r="BA19" s="796"/>
      <c r="BB19" s="796"/>
      <c r="BC19" s="796"/>
      <c r="BD19" s="796"/>
      <c r="BE19" s="796"/>
      <c r="BF19" s="796"/>
      <c r="BG19" s="796"/>
      <c r="BH19" s="796"/>
      <c r="BI19" s="796"/>
      <c r="BJ19" s="796"/>
      <c r="BK19" s="796"/>
      <c r="BL19" s="825"/>
      <c r="BM19" s="820"/>
      <c r="BN19" s="852"/>
      <c r="BO19" s="858" t="s">
        <v>176</v>
      </c>
      <c r="BP19" s="854"/>
      <c r="BQ19" s="854"/>
      <c r="BR19" s="854"/>
      <c r="BS19" s="854"/>
      <c r="BT19" s="855"/>
      <c r="BU19" s="856"/>
      <c r="BV19" s="856"/>
      <c r="BW19" s="856"/>
      <c r="BX19" s="844"/>
      <c r="BY19" s="845"/>
      <c r="BZ19" s="845"/>
      <c r="CA19" s="846"/>
      <c r="CB19" s="857"/>
      <c r="CC19" s="951"/>
      <c r="CD19" s="857"/>
      <c r="CE19" s="799"/>
      <c r="CF19" s="799"/>
      <c r="CG19" s="799"/>
      <c r="CH19" s="799"/>
      <c r="CI19" s="799"/>
      <c r="CJ19" s="799"/>
      <c r="CK19" s="799"/>
      <c r="CL19" s="799"/>
      <c r="CM19" s="799"/>
      <c r="CN19" s="799"/>
      <c r="CO19" s="799"/>
      <c r="CP19" s="799"/>
      <c r="CQ19" s="799"/>
      <c r="CR19" s="799"/>
      <c r="CS19" s="799"/>
      <c r="CT19" s="606"/>
      <c r="CU19" s="606"/>
      <c r="CV19" s="606"/>
      <c r="CW19" s="606"/>
      <c r="CX19" s="606"/>
      <c r="CY19" s="606"/>
      <c r="CZ19" s="606"/>
      <c r="DA19" s="606"/>
      <c r="DB19" s="606"/>
      <c r="DC19" s="606"/>
      <c r="DD19" s="606"/>
      <c r="DE19" s="606"/>
      <c r="DF19" s="606"/>
      <c r="DG19" s="606"/>
      <c r="DH19" s="606"/>
      <c r="DI19" s="606"/>
      <c r="DJ19" s="606"/>
      <c r="DK19" s="606"/>
      <c r="DL19" s="606"/>
      <c r="DM19" s="606"/>
      <c r="DN19" s="606"/>
      <c r="DO19" s="606"/>
      <c r="DP19" s="606"/>
      <c r="DQ19" s="606"/>
      <c r="DR19" s="606"/>
      <c r="DS19" s="606"/>
      <c r="DT19" s="606"/>
      <c r="DU19" s="606"/>
      <c r="DV19" s="606"/>
      <c r="DW19" s="606"/>
      <c r="DX19" s="606"/>
      <c r="DY19" s="606"/>
      <c r="DZ19" s="606"/>
    </row>
    <row r="20" spans="1:130" ht="16.5" customHeight="1" thickBot="1" x14ac:dyDescent="0.35">
      <c r="A20" s="1"/>
      <c r="B20" s="15"/>
      <c r="C20" s="675" t="s">
        <v>192</v>
      </c>
      <c r="D20" s="17"/>
      <c r="E20" s="17"/>
      <c r="F20" s="16"/>
      <c r="G20" s="17"/>
      <c r="H20" s="17"/>
      <c r="I20" s="18"/>
      <c r="J20" s="6"/>
      <c r="K20" s="650"/>
      <c r="L20" s="367" t="s">
        <v>1</v>
      </c>
      <c r="M20" s="367"/>
      <c r="N20" s="367"/>
      <c r="O20" s="367"/>
      <c r="P20" s="367"/>
      <c r="Q20" s="56"/>
      <c r="R20" s="26"/>
      <c r="S20" s="56"/>
      <c r="T20" s="56"/>
      <c r="U20" s="56"/>
      <c r="V20" s="315"/>
      <c r="W20" s="1"/>
      <c r="X20" s="796"/>
      <c r="Y20" s="796"/>
      <c r="Z20" s="796"/>
      <c r="AA20" s="796"/>
      <c r="AB20" s="796"/>
      <c r="AC20" s="796"/>
      <c r="AD20" s="796"/>
      <c r="AE20" s="796"/>
      <c r="AF20" s="796"/>
      <c r="AG20" s="796"/>
      <c r="AH20" s="796"/>
      <c r="AI20" s="796"/>
      <c r="AJ20" s="796"/>
      <c r="AK20" s="796"/>
      <c r="AL20" s="796"/>
      <c r="AM20" s="796"/>
      <c r="AN20" s="796"/>
      <c r="AO20" s="796"/>
      <c r="AP20" s="796"/>
      <c r="AQ20" s="796"/>
      <c r="AR20" s="796"/>
      <c r="AS20" s="796"/>
      <c r="AT20" s="796"/>
      <c r="AU20" s="796"/>
      <c r="AV20" s="796"/>
      <c r="AW20" s="796"/>
      <c r="AX20" s="796"/>
      <c r="AY20" s="796"/>
      <c r="AZ20" s="796"/>
      <c r="BA20" s="796"/>
      <c r="BB20" s="796"/>
      <c r="BC20" s="796"/>
      <c r="BD20" s="796"/>
      <c r="BE20" s="796"/>
      <c r="BF20" s="796"/>
      <c r="BG20" s="796"/>
      <c r="BH20" s="796"/>
      <c r="BI20" s="796"/>
      <c r="BJ20" s="796"/>
      <c r="BK20" s="796"/>
      <c r="BL20" s="820"/>
      <c r="BM20" s="820"/>
      <c r="BN20" s="852"/>
      <c r="BO20" s="858" t="s">
        <v>177</v>
      </c>
      <c r="BP20" s="854"/>
      <c r="BQ20" s="854"/>
      <c r="BR20" s="854"/>
      <c r="BS20" s="854"/>
      <c r="BT20" s="859"/>
      <c r="BU20" s="860"/>
      <c r="BV20" s="856"/>
      <c r="BW20" s="856"/>
      <c r="BX20" s="839"/>
      <c r="BY20" s="840"/>
      <c r="BZ20" s="840"/>
      <c r="CA20" s="841"/>
      <c r="CB20" s="857"/>
      <c r="CC20" s="951"/>
      <c r="CD20" s="857"/>
      <c r="CE20" s="799"/>
      <c r="CF20" s="799"/>
      <c r="CG20" s="799"/>
      <c r="CH20" s="799"/>
      <c r="CI20" s="799"/>
      <c r="CJ20" s="799"/>
      <c r="CK20" s="799"/>
      <c r="CL20" s="799"/>
      <c r="CM20" s="799"/>
      <c r="CN20" s="799"/>
      <c r="CO20" s="799"/>
      <c r="CP20" s="799"/>
      <c r="CQ20" s="799"/>
      <c r="CR20" s="799"/>
      <c r="CS20" s="799"/>
      <c r="CT20" s="606"/>
      <c r="CU20" s="606"/>
      <c r="CV20" s="606"/>
      <c r="CW20" s="606"/>
      <c r="CX20" s="606"/>
      <c r="CY20" s="606"/>
      <c r="CZ20" s="606"/>
      <c r="DA20" s="606"/>
      <c r="DB20" s="606"/>
      <c r="DC20" s="606"/>
      <c r="DD20" s="606"/>
      <c r="DE20" s="606"/>
      <c r="DF20" s="606"/>
      <c r="DG20" s="606"/>
      <c r="DH20" s="606"/>
      <c r="DI20" s="606"/>
      <c r="DJ20" s="606"/>
      <c r="DK20" s="606"/>
      <c r="DL20" s="606"/>
      <c r="DM20" s="606"/>
      <c r="DN20" s="606"/>
      <c r="DO20" s="606"/>
      <c r="DP20" s="606"/>
      <c r="DQ20" s="606"/>
      <c r="DR20" s="606"/>
      <c r="DS20" s="606"/>
      <c r="DT20" s="606"/>
      <c r="DU20" s="606"/>
      <c r="DV20" s="606"/>
      <c r="DW20" s="606"/>
      <c r="DX20" s="606"/>
      <c r="DY20" s="606"/>
      <c r="DZ20" s="606"/>
    </row>
    <row r="21" spans="1:130" ht="13.5" customHeight="1" thickBot="1" x14ac:dyDescent="0.35">
      <c r="A21" s="1"/>
      <c r="B21" s="15"/>
      <c r="C21" s="514"/>
      <c r="D21" s="16"/>
      <c r="E21" s="17"/>
      <c r="F21" s="16"/>
      <c r="G21" s="17"/>
      <c r="H21" s="17"/>
      <c r="I21" s="18"/>
      <c r="J21" s="6"/>
      <c r="K21" s="650"/>
      <c r="L21" s="367"/>
      <c r="M21" s="367"/>
      <c r="N21" s="367"/>
      <c r="O21" s="367"/>
      <c r="P21" s="367"/>
      <c r="Q21" s="367"/>
      <c r="R21" s="26"/>
      <c r="S21" s="56"/>
      <c r="T21" s="56"/>
      <c r="U21" s="56"/>
      <c r="V21" s="315"/>
      <c r="W21" s="1"/>
      <c r="X21" s="470"/>
      <c r="Y21" s="470"/>
      <c r="Z21" s="470"/>
      <c r="AA21" s="470"/>
      <c r="AB21" s="470"/>
      <c r="AC21" s="470"/>
      <c r="AD21" s="470"/>
      <c r="AE21" s="470"/>
      <c r="AF21" s="470"/>
      <c r="AG21" s="470"/>
      <c r="AH21" s="470"/>
      <c r="AI21" s="470"/>
      <c r="AJ21" s="470"/>
      <c r="AK21" s="470"/>
      <c r="AL21" s="470"/>
      <c r="AM21" s="470"/>
      <c r="AN21" s="470"/>
      <c r="AO21" s="470"/>
      <c r="AP21" s="470"/>
      <c r="AQ21" s="470"/>
      <c r="AR21" s="470"/>
      <c r="AS21" s="470"/>
      <c r="AT21" s="470"/>
      <c r="AU21" s="470"/>
      <c r="AV21" s="470"/>
      <c r="AW21" s="470"/>
      <c r="AX21" s="470"/>
      <c r="AY21" s="470"/>
      <c r="AZ21" s="470"/>
      <c r="BA21" s="470"/>
      <c r="BB21" s="470"/>
      <c r="BC21" s="470"/>
      <c r="BD21" s="470"/>
      <c r="BE21" s="470"/>
      <c r="BF21" s="470"/>
      <c r="BG21" s="470"/>
      <c r="BH21" s="470"/>
      <c r="BI21" s="470"/>
      <c r="BJ21" s="470"/>
      <c r="BL21" s="820"/>
      <c r="BM21" s="820"/>
      <c r="BN21" s="852"/>
      <c r="BO21" s="858" t="s">
        <v>178</v>
      </c>
      <c r="BP21" s="861"/>
      <c r="BQ21" s="854"/>
      <c r="BR21" s="854"/>
      <c r="BS21" s="854"/>
      <c r="BT21" s="859"/>
      <c r="BU21" s="860"/>
      <c r="BV21" s="862"/>
      <c r="BW21" s="856"/>
      <c r="BX21" s="848" t="s">
        <v>8</v>
      </c>
      <c r="BY21" s="849"/>
      <c r="BZ21" s="849"/>
      <c r="CA21" s="830"/>
      <c r="CB21" s="857"/>
      <c r="CC21" s="951"/>
      <c r="CD21" s="857"/>
      <c r="CE21" s="799"/>
      <c r="CF21" s="799"/>
      <c r="CG21" s="799"/>
      <c r="CH21" s="799"/>
      <c r="CI21" s="799"/>
      <c r="CJ21" s="799"/>
      <c r="CK21" s="799"/>
      <c r="CL21" s="799"/>
      <c r="CM21" s="799"/>
      <c r="CN21" s="799"/>
      <c r="CO21" s="799"/>
      <c r="CP21" s="799"/>
      <c r="CQ21" s="799"/>
      <c r="CR21" s="799"/>
      <c r="CS21" s="799"/>
      <c r="CT21" s="606"/>
      <c r="CU21" s="606"/>
      <c r="CV21" s="606"/>
      <c r="CW21" s="606"/>
      <c r="CX21" s="606"/>
      <c r="CY21" s="606"/>
      <c r="CZ21" s="606"/>
      <c r="DA21" s="606"/>
      <c r="DB21" s="606"/>
      <c r="DC21" s="606"/>
      <c r="DD21" s="606"/>
      <c r="DE21" s="606"/>
      <c r="DF21" s="606"/>
      <c r="DG21" s="606"/>
      <c r="DH21" s="606"/>
      <c r="DI21" s="606"/>
      <c r="DJ21" s="606"/>
      <c r="DK21" s="606"/>
      <c r="DL21" s="606"/>
      <c r="DM21" s="606"/>
      <c r="DN21" s="606"/>
      <c r="DO21" s="606"/>
      <c r="DP21" s="606"/>
      <c r="DQ21" s="606"/>
      <c r="DR21" s="606"/>
      <c r="DS21" s="606"/>
      <c r="DT21" s="606"/>
      <c r="DU21" s="606"/>
      <c r="DV21" s="606"/>
      <c r="DW21" s="606"/>
      <c r="DX21" s="606"/>
      <c r="DY21" s="606"/>
      <c r="DZ21" s="606"/>
    </row>
    <row r="22" spans="1:130" ht="51.75" customHeight="1" thickBot="1" x14ac:dyDescent="0.3">
      <c r="A22" s="1"/>
      <c r="B22" s="15"/>
      <c r="C22" s="976" t="s">
        <v>354</v>
      </c>
      <c r="D22" s="977"/>
      <c r="E22" s="978"/>
      <c r="F22" s="381" t="s">
        <v>165</v>
      </c>
      <c r="G22" s="382" t="s">
        <v>3</v>
      </c>
      <c r="H22" s="382" t="s">
        <v>4</v>
      </c>
      <c r="I22" s="19"/>
      <c r="J22" s="20"/>
      <c r="K22" s="650"/>
      <c r="L22" s="402"/>
      <c r="M22" s="26" t="s">
        <v>6</v>
      </c>
      <c r="N22" s="599" t="s">
        <v>130</v>
      </c>
      <c r="O22" s="599"/>
      <c r="P22" s="368"/>
      <c r="Q22" s="368"/>
      <c r="R22" s="368"/>
      <c r="S22" s="368"/>
      <c r="T22" s="368"/>
      <c r="U22" s="369"/>
      <c r="V22" s="315"/>
      <c r="W22" s="1"/>
      <c r="X22" s="471"/>
      <c r="Y22" s="471"/>
      <c r="Z22" s="471"/>
      <c r="AA22" s="471"/>
      <c r="AB22" s="471"/>
      <c r="AC22" s="471"/>
      <c r="AD22" s="471"/>
      <c r="AE22" s="471"/>
      <c r="AF22" s="471"/>
      <c r="AG22" s="471"/>
      <c r="AH22" s="471"/>
      <c r="AI22" s="471"/>
      <c r="AJ22" s="471"/>
      <c r="AK22" s="471"/>
      <c r="AL22" s="471"/>
      <c r="AM22" s="471"/>
      <c r="AN22" s="471"/>
      <c r="AO22" s="471"/>
      <c r="AP22" s="471"/>
      <c r="AQ22" s="471"/>
      <c r="AR22" s="471"/>
      <c r="AS22" s="471"/>
      <c r="AT22" s="471"/>
      <c r="AU22" s="471"/>
      <c r="AV22" s="471"/>
      <c r="AW22" s="471"/>
      <c r="AX22" s="471"/>
      <c r="AY22" s="471"/>
      <c r="AZ22" s="471"/>
      <c r="BA22" s="471"/>
      <c r="BB22" s="471"/>
      <c r="BC22" s="471"/>
      <c r="BD22" s="471"/>
      <c r="BE22" s="471"/>
      <c r="BF22" s="471"/>
      <c r="BG22" s="471"/>
      <c r="BH22" s="471"/>
      <c r="BI22" s="471"/>
      <c r="BJ22" s="471"/>
      <c r="BK22" s="798"/>
      <c r="BL22" s="852"/>
      <c r="BM22" s="852"/>
      <c r="BN22" s="852"/>
      <c r="BO22" s="851" t="s">
        <v>179</v>
      </c>
      <c r="BP22" s="861"/>
      <c r="BQ22" s="854"/>
      <c r="BR22" s="854"/>
      <c r="BS22" s="854"/>
      <c r="BT22" s="859"/>
      <c r="BU22" s="860"/>
      <c r="BV22" s="862"/>
      <c r="BW22" s="862"/>
      <c r="BX22" s="839">
        <f>IF($O$31="Resid. Padrão Alto",160,IF($O$31="Resid. Padrão Médio",130,IF($O$31="Resid. Padrão Baixo",100,IF($O$31="Hotel (exceto banheira, lavanderia e cozinha)",100,IF($O$31="Hotel com cozinha e lavanderia, exceto banheira",240,IF($O$31="Hotel com cozinha, lavanderia e banheira",360,IF($O$31="Alojamento Provisório",80,IF($O$31="Orfanato - Asilo",120,IF($O$31="Escola (internato)",150,IF($O$31="Presídio",240,IF($O$31="Quartel",120,IF($O$31="Área rural",100,IF($O$31="Fábrica em Geral",70,0)))))))))))))</f>
        <v>0</v>
      </c>
      <c r="BY22" s="840">
        <f>IF($O$31="Escritório",50,IF($O$31="Edifício público ou comercial",50,IF($O$31="Escola de meio período",50,IF($O$31="Escola de período integral",100,IF($O$31="Creche",50,IF($O$31="Bar",6,0))))))</f>
        <v>0</v>
      </c>
      <c r="BZ22" s="840">
        <f>IF($O$31="Restaurantes e similares",25,IF($O$31="Cinema, teatro, templo, igreja e locais de curta permanência",2,0))</f>
        <v>0</v>
      </c>
      <c r="CA22" s="841">
        <f>IF($O$31="Ambulatório",25,IF($O$31="Estação ferroviária, rodoviária e metroviária",25,IF($O$31="Sanitário público",480,0)))</f>
        <v>0</v>
      </c>
      <c r="CB22" s="857"/>
      <c r="CC22" s="951"/>
      <c r="CD22" s="857"/>
      <c r="CE22" s="799"/>
      <c r="CF22" s="799"/>
      <c r="CG22" s="799"/>
      <c r="CH22" s="799"/>
      <c r="CI22" s="799"/>
      <c r="CJ22" s="799"/>
      <c r="CK22" s="799"/>
      <c r="CL22" s="799"/>
      <c r="CM22" s="799"/>
      <c r="CN22" s="799"/>
      <c r="CO22" s="799"/>
      <c r="CP22" s="799"/>
      <c r="CQ22" s="799"/>
      <c r="CR22" s="799"/>
      <c r="CS22" s="799"/>
      <c r="CT22" s="606"/>
      <c r="CU22" s="606"/>
      <c r="CV22" s="606"/>
      <c r="CW22" s="606"/>
      <c r="CX22" s="606"/>
      <c r="CY22" s="606"/>
      <c r="CZ22" s="606"/>
      <c r="DA22" s="606"/>
      <c r="DB22" s="606"/>
      <c r="DC22" s="606"/>
      <c r="DD22" s="606"/>
      <c r="DE22" s="606"/>
      <c r="DF22" s="606"/>
      <c r="DG22" s="606"/>
      <c r="DH22" s="606"/>
      <c r="DI22" s="606"/>
      <c r="DJ22" s="606"/>
      <c r="DK22" s="606"/>
      <c r="DL22" s="606"/>
      <c r="DM22" s="606"/>
      <c r="DN22" s="606"/>
      <c r="DO22" s="606"/>
      <c r="DP22" s="606"/>
      <c r="DQ22" s="606"/>
      <c r="DR22" s="606"/>
      <c r="DS22" s="606"/>
      <c r="DT22" s="606"/>
      <c r="DU22" s="606"/>
      <c r="DV22" s="606"/>
      <c r="DW22" s="606"/>
      <c r="DX22" s="606"/>
      <c r="DY22" s="606"/>
      <c r="DZ22" s="606"/>
    </row>
    <row r="23" spans="1:130" ht="9.75" customHeight="1" x14ac:dyDescent="0.25">
      <c r="A23" s="1"/>
      <c r="B23" s="15"/>
      <c r="C23" s="676"/>
      <c r="D23" s="719"/>
      <c r="E23" s="719"/>
      <c r="F23" s="509"/>
      <c r="G23" s="487"/>
      <c r="H23" s="487"/>
      <c r="I23" s="19"/>
      <c r="J23" s="20"/>
      <c r="K23" s="650"/>
      <c r="L23" s="402"/>
      <c r="M23" s="26"/>
      <c r="N23" s="645"/>
      <c r="O23" s="599"/>
      <c r="P23" s="368"/>
      <c r="Q23" s="368"/>
      <c r="R23" s="368"/>
      <c r="S23" s="368"/>
      <c r="T23" s="368"/>
      <c r="U23" s="369"/>
      <c r="V23" s="315"/>
      <c r="W23" s="1"/>
      <c r="X23" s="471"/>
      <c r="Y23" s="471"/>
      <c r="Z23" s="471"/>
      <c r="AA23" s="471"/>
      <c r="AB23" s="471"/>
      <c r="AC23" s="471"/>
      <c r="AD23" s="471"/>
      <c r="AE23" s="471"/>
      <c r="AF23" s="471"/>
      <c r="AG23" s="471"/>
      <c r="AH23" s="471"/>
      <c r="AI23" s="471"/>
      <c r="AJ23" s="471"/>
      <c r="AK23" s="471"/>
      <c r="AL23" s="471"/>
      <c r="AM23" s="471"/>
      <c r="AN23" s="471"/>
      <c r="AO23" s="471"/>
      <c r="AP23" s="471"/>
      <c r="AQ23" s="471"/>
      <c r="AR23" s="471"/>
      <c r="AS23" s="471"/>
      <c r="AT23" s="471"/>
      <c r="AU23" s="471"/>
      <c r="AV23" s="471"/>
      <c r="AW23" s="471"/>
      <c r="AX23" s="471"/>
      <c r="AY23" s="471"/>
      <c r="AZ23" s="471"/>
      <c r="BA23" s="471"/>
      <c r="BB23" s="471"/>
      <c r="BC23" s="471"/>
      <c r="BD23" s="471"/>
      <c r="BE23" s="471"/>
      <c r="BF23" s="471"/>
      <c r="BG23" s="471"/>
      <c r="BH23" s="471"/>
      <c r="BI23" s="471"/>
      <c r="BJ23" s="471"/>
      <c r="BK23" s="798"/>
      <c r="BL23" s="852"/>
      <c r="BM23" s="852"/>
      <c r="BN23" s="852"/>
      <c r="BO23" s="851" t="s">
        <v>180</v>
      </c>
      <c r="BP23" s="853"/>
      <c r="BQ23" s="861"/>
      <c r="BR23" s="854"/>
      <c r="BS23" s="854"/>
      <c r="BT23" s="859"/>
      <c r="BU23" s="860"/>
      <c r="BV23" s="856"/>
      <c r="BW23" s="862"/>
      <c r="BX23" s="839"/>
      <c r="BY23" s="840"/>
      <c r="BZ23" s="840"/>
      <c r="CA23" s="841"/>
      <c r="CB23" s="857"/>
      <c r="CC23" s="951"/>
      <c r="CD23" s="857"/>
      <c r="CE23" s="799"/>
      <c r="CF23" s="799"/>
      <c r="CG23" s="799"/>
      <c r="CH23" s="799"/>
      <c r="CI23" s="799"/>
      <c r="CJ23" s="799"/>
      <c r="CK23" s="799"/>
      <c r="CL23" s="799"/>
      <c r="CM23" s="799"/>
      <c r="CN23" s="799"/>
      <c r="CO23" s="799"/>
      <c r="CP23" s="799"/>
      <c r="CQ23" s="799"/>
      <c r="CR23" s="799"/>
      <c r="CS23" s="799"/>
      <c r="CT23" s="606"/>
      <c r="CU23" s="606"/>
      <c r="CV23" s="606"/>
      <c r="CW23" s="606"/>
      <c r="CX23" s="606"/>
      <c r="CY23" s="606"/>
      <c r="CZ23" s="606"/>
      <c r="DA23" s="606"/>
      <c r="DB23" s="606"/>
      <c r="DC23" s="606"/>
      <c r="DD23" s="606"/>
      <c r="DE23" s="606"/>
      <c r="DF23" s="606"/>
      <c r="DG23" s="606"/>
      <c r="DH23" s="606"/>
      <c r="DI23" s="606"/>
      <c r="DJ23" s="606"/>
      <c r="DK23" s="606"/>
      <c r="DL23" s="606"/>
      <c r="DM23" s="606"/>
      <c r="DN23" s="606"/>
      <c r="DO23" s="606"/>
      <c r="DP23" s="606"/>
      <c r="DQ23" s="606"/>
      <c r="DR23" s="606"/>
      <c r="DS23" s="606"/>
      <c r="DT23" s="606"/>
      <c r="DU23" s="606"/>
      <c r="DV23" s="606"/>
      <c r="DW23" s="606"/>
      <c r="DX23" s="606"/>
      <c r="DY23" s="606"/>
      <c r="DZ23" s="606"/>
    </row>
    <row r="24" spans="1:130" ht="13.5" customHeight="1" x14ac:dyDescent="0.25">
      <c r="A24" s="1"/>
      <c r="B24" s="15"/>
      <c r="C24" s="677" t="s">
        <v>227</v>
      </c>
      <c r="D24" s="720" t="s">
        <v>226</v>
      </c>
      <c r="E24" s="720"/>
      <c r="F24" s="643"/>
      <c r="G24" s="643"/>
      <c r="H24" s="643"/>
      <c r="I24" s="18"/>
      <c r="J24" s="6"/>
      <c r="K24" s="650"/>
      <c r="L24" s="402"/>
      <c r="M24" s="26"/>
      <c r="N24" s="370" t="s">
        <v>9</v>
      </c>
      <c r="O24" s="599"/>
      <c r="P24" s="368"/>
      <c r="Q24" s="368"/>
      <c r="R24" s="368"/>
      <c r="S24" s="368"/>
      <c r="T24" s="368"/>
      <c r="U24" s="369"/>
      <c r="V24" s="315"/>
      <c r="W24" s="1"/>
      <c r="X24" s="471"/>
      <c r="Y24" s="471"/>
      <c r="Z24" s="471"/>
      <c r="AA24" s="471"/>
      <c r="AB24" s="471"/>
      <c r="AC24" s="471"/>
      <c r="AD24" s="471"/>
      <c r="AE24" s="471"/>
      <c r="AF24" s="471"/>
      <c r="AG24" s="471"/>
      <c r="AH24" s="471"/>
      <c r="AI24" s="471"/>
      <c r="AJ24" s="471"/>
      <c r="AK24" s="471"/>
      <c r="AL24" s="471"/>
      <c r="AM24" s="471"/>
      <c r="AN24" s="471"/>
      <c r="AO24" s="471"/>
      <c r="AP24" s="471"/>
      <c r="AQ24" s="471"/>
      <c r="AR24" s="471"/>
      <c r="AS24" s="471"/>
      <c r="AT24" s="471"/>
      <c r="AU24" s="471"/>
      <c r="AV24" s="471"/>
      <c r="AW24" s="471"/>
      <c r="AX24" s="471"/>
      <c r="AY24" s="471"/>
      <c r="AZ24" s="471"/>
      <c r="BA24" s="471"/>
      <c r="BB24" s="471"/>
      <c r="BC24" s="471"/>
      <c r="BD24" s="471"/>
      <c r="BE24" s="471"/>
      <c r="BF24" s="471"/>
      <c r="BG24" s="471"/>
      <c r="BH24" s="471"/>
      <c r="BI24" s="471"/>
      <c r="BJ24" s="471"/>
      <c r="BK24" s="800"/>
      <c r="BL24" s="863">
        <f>U50</f>
        <v>1</v>
      </c>
      <c r="BM24" s="864"/>
      <c r="BN24" s="864"/>
      <c r="BO24" s="858" t="s">
        <v>25</v>
      </c>
      <c r="BP24" s="854"/>
      <c r="BQ24" s="853"/>
      <c r="BR24" s="854"/>
      <c r="BS24" s="854"/>
      <c r="BT24" s="859"/>
      <c r="BU24" s="860"/>
      <c r="BV24" s="856"/>
      <c r="BW24" s="856"/>
      <c r="BX24" s="839"/>
      <c r="BY24" s="840"/>
      <c r="BZ24" s="840"/>
      <c r="CA24" s="841"/>
      <c r="CB24" s="865"/>
      <c r="CC24" s="953"/>
      <c r="CD24" s="865"/>
      <c r="CE24" s="606"/>
      <c r="CF24" s="606"/>
      <c r="CG24" s="606"/>
      <c r="CH24" s="606"/>
      <c r="CI24" s="606"/>
      <c r="CJ24" s="606"/>
      <c r="CK24" s="606"/>
      <c r="CL24" s="606"/>
      <c r="CM24" s="606"/>
      <c r="CN24" s="606"/>
      <c r="CO24" s="606"/>
      <c r="CP24" s="606"/>
      <c r="CQ24" s="606"/>
      <c r="CR24" s="606"/>
      <c r="CS24" s="606"/>
      <c r="CT24" s="606"/>
      <c r="CU24" s="606"/>
      <c r="CV24" s="606"/>
      <c r="CW24" s="606"/>
      <c r="CX24" s="606"/>
      <c r="CY24" s="606"/>
      <c r="CZ24" s="606"/>
      <c r="DA24" s="606"/>
      <c r="DB24" s="606"/>
      <c r="DC24" s="606"/>
      <c r="DD24" s="606"/>
      <c r="DE24" s="606"/>
      <c r="DF24" s="606"/>
      <c r="DG24" s="606"/>
      <c r="DH24" s="606"/>
      <c r="DI24" s="606"/>
      <c r="DJ24" s="606"/>
      <c r="DK24" s="606"/>
      <c r="DL24" s="606"/>
      <c r="DM24" s="606"/>
      <c r="DN24" s="606"/>
      <c r="DO24" s="606"/>
      <c r="DP24" s="606"/>
      <c r="DQ24" s="606"/>
      <c r="DR24" s="606"/>
      <c r="DS24" s="606"/>
      <c r="DT24" s="606"/>
      <c r="DU24" s="606"/>
      <c r="DV24" s="606"/>
      <c r="DW24" s="606"/>
      <c r="DX24" s="606"/>
      <c r="DY24" s="606"/>
      <c r="DZ24" s="606"/>
    </row>
    <row r="25" spans="1:130" ht="16.5" customHeight="1" thickBot="1" x14ac:dyDescent="0.3">
      <c r="A25" s="1"/>
      <c r="B25" s="15"/>
      <c r="C25" s="678" t="s">
        <v>224</v>
      </c>
      <c r="D25" s="721" t="s">
        <v>185</v>
      </c>
      <c r="E25" s="296"/>
      <c r="F25" s="638" t="s">
        <v>186</v>
      </c>
      <c r="G25" s="638">
        <v>160</v>
      </c>
      <c r="H25" s="638">
        <v>1</v>
      </c>
      <c r="I25" s="21"/>
      <c r="J25" s="7"/>
      <c r="K25" s="650"/>
      <c r="L25" s="402"/>
      <c r="M25" s="26"/>
      <c r="N25" s="599"/>
      <c r="O25" s="599"/>
      <c r="P25" s="368"/>
      <c r="Q25" s="368"/>
      <c r="R25" s="368"/>
      <c r="S25" s="368"/>
      <c r="T25" s="368"/>
      <c r="U25" s="369"/>
      <c r="V25" s="315"/>
      <c r="W25" s="1"/>
      <c r="X25" s="471"/>
      <c r="Y25" s="471"/>
      <c r="Z25" s="471"/>
      <c r="AA25" s="471"/>
      <c r="AB25" s="471"/>
      <c r="AC25" s="471"/>
      <c r="AD25" s="471"/>
      <c r="AE25" s="471"/>
      <c r="AF25" s="471"/>
      <c r="AG25" s="471"/>
      <c r="AH25" s="471"/>
      <c r="AI25" s="471"/>
      <c r="AJ25" s="471"/>
      <c r="AK25" s="471"/>
      <c r="AL25" s="471"/>
      <c r="AM25" s="471"/>
      <c r="AN25" s="471"/>
      <c r="AO25" s="471"/>
      <c r="AP25" s="471"/>
      <c r="AQ25" s="471"/>
      <c r="AR25" s="471"/>
      <c r="AS25" s="471"/>
      <c r="AT25" s="471"/>
      <c r="AU25" s="471"/>
      <c r="AV25" s="471"/>
      <c r="AW25" s="471"/>
      <c r="AX25" s="471"/>
      <c r="AY25" s="471"/>
      <c r="AZ25" s="471"/>
      <c r="BA25" s="471"/>
      <c r="BB25" s="471"/>
      <c r="BC25" s="471"/>
      <c r="BD25" s="471"/>
      <c r="BE25" s="471"/>
      <c r="BF25" s="471"/>
      <c r="BG25" s="471"/>
      <c r="BH25" s="471"/>
      <c r="BI25" s="471"/>
      <c r="BJ25" s="471"/>
      <c r="BK25" s="800"/>
      <c r="BL25" s="838"/>
      <c r="BM25" s="864"/>
      <c r="BN25" s="864"/>
      <c r="BO25" s="858" t="s">
        <v>321</v>
      </c>
      <c r="BP25" s="866"/>
      <c r="BQ25" s="854"/>
      <c r="BR25" s="854"/>
      <c r="BS25" s="854"/>
      <c r="BT25" s="855"/>
      <c r="BU25" s="860"/>
      <c r="BV25" s="856"/>
      <c r="BW25" s="856"/>
      <c r="BX25" s="839" t="s">
        <v>12</v>
      </c>
      <c r="BY25" s="840"/>
      <c r="BZ25" s="840"/>
      <c r="CA25" s="841"/>
      <c r="CB25" s="865"/>
      <c r="CC25" s="953"/>
      <c r="CD25" s="865"/>
      <c r="CE25" s="606"/>
      <c r="CF25" s="606"/>
      <c r="CG25" s="606"/>
      <c r="CH25" s="606"/>
      <c r="CI25" s="606"/>
      <c r="CJ25" s="606"/>
      <c r="CK25" s="606"/>
      <c r="CL25" s="606"/>
      <c r="CM25" s="606"/>
      <c r="CN25" s="606"/>
      <c r="CO25" s="606"/>
      <c r="CP25" s="606"/>
      <c r="CQ25" s="606"/>
      <c r="CR25" s="606"/>
      <c r="CS25" s="606"/>
      <c r="CT25" s="606"/>
      <c r="CU25" s="606"/>
      <c r="CV25" s="606"/>
      <c r="CW25" s="606"/>
      <c r="CX25" s="606"/>
      <c r="CY25" s="606"/>
      <c r="CZ25" s="606"/>
      <c r="DA25" s="606"/>
      <c r="DB25" s="606"/>
      <c r="DC25" s="606"/>
      <c r="DD25" s="606"/>
      <c r="DE25" s="606"/>
      <c r="DF25" s="606"/>
      <c r="DG25" s="606"/>
      <c r="DH25" s="606"/>
      <c r="DI25" s="606"/>
      <c r="DJ25" s="606"/>
      <c r="DK25" s="606"/>
      <c r="DL25" s="606"/>
      <c r="DM25" s="606"/>
      <c r="DN25" s="606"/>
      <c r="DO25" s="606"/>
      <c r="DP25" s="606"/>
      <c r="DQ25" s="606"/>
      <c r="DR25" s="606"/>
      <c r="DS25" s="606"/>
      <c r="DT25" s="606"/>
      <c r="DU25" s="606"/>
      <c r="DV25" s="606"/>
      <c r="DW25" s="606"/>
      <c r="DX25" s="606"/>
      <c r="DY25" s="606"/>
      <c r="DZ25" s="606"/>
    </row>
    <row r="26" spans="1:130" ht="14.25" customHeight="1" thickBot="1" x14ac:dyDescent="0.3">
      <c r="A26" s="1"/>
      <c r="B26" s="15"/>
      <c r="C26" s="678" t="s">
        <v>224</v>
      </c>
      <c r="D26" s="296" t="s">
        <v>187</v>
      </c>
      <c r="E26" s="296"/>
      <c r="F26" s="638" t="s">
        <v>186</v>
      </c>
      <c r="G26" s="638">
        <v>130</v>
      </c>
      <c r="H26" s="638">
        <v>1</v>
      </c>
      <c r="I26" s="21"/>
      <c r="J26" s="7"/>
      <c r="K26" s="650"/>
      <c r="L26" s="402"/>
      <c r="M26" s="26"/>
      <c r="N26" s="372"/>
      <c r="O26" s="1014" t="s">
        <v>14</v>
      </c>
      <c r="P26" s="1015"/>
      <c r="Q26" s="1015"/>
      <c r="R26" s="1016"/>
      <c r="S26" s="26"/>
      <c r="T26" s="56"/>
      <c r="U26" s="371"/>
      <c r="V26" s="315"/>
      <c r="W26" s="1"/>
      <c r="X26" s="472"/>
      <c r="Y26" s="472"/>
      <c r="Z26" s="472"/>
      <c r="AA26" s="472"/>
      <c r="AB26" s="472"/>
      <c r="AC26" s="472"/>
      <c r="AD26" s="472"/>
      <c r="AE26" s="472"/>
      <c r="AF26" s="472"/>
      <c r="AG26" s="472"/>
      <c r="AH26" s="472"/>
      <c r="AI26" s="472"/>
      <c r="AJ26" s="472"/>
      <c r="AK26" s="472"/>
      <c r="AL26" s="472"/>
      <c r="AM26" s="472"/>
      <c r="AN26" s="472"/>
      <c r="AO26" s="472"/>
      <c r="AP26" s="472"/>
      <c r="AQ26" s="472"/>
      <c r="AR26" s="472"/>
      <c r="AS26" s="472"/>
      <c r="AT26" s="472"/>
      <c r="AU26" s="472"/>
      <c r="AV26" s="472"/>
      <c r="AW26" s="472"/>
      <c r="AX26" s="472"/>
      <c r="AY26" s="472"/>
      <c r="AZ26" s="472"/>
      <c r="BA26" s="472"/>
      <c r="BB26" s="472"/>
      <c r="BC26" s="472"/>
      <c r="BD26" s="472"/>
      <c r="BE26" s="472"/>
      <c r="BF26" s="472"/>
      <c r="BG26" s="472"/>
      <c r="BH26" s="472"/>
      <c r="BI26" s="472"/>
      <c r="BJ26" s="472"/>
      <c r="BK26" s="419"/>
      <c r="BL26" s="838"/>
      <c r="BM26" s="867"/>
      <c r="BN26" s="867"/>
      <c r="BO26" s="858" t="s">
        <v>181</v>
      </c>
      <c r="BP26" s="854"/>
      <c r="BQ26" s="866"/>
      <c r="BR26" s="866"/>
      <c r="BS26" s="866"/>
      <c r="BT26" s="855"/>
      <c r="BU26" s="860"/>
      <c r="BV26" s="856"/>
      <c r="BW26" s="856"/>
      <c r="BX26" s="842">
        <f>IF(O31="Restaurantes e similares","nº de refeição",IF(O31="Cinema, teatros e locais de curta permanência", "nº de lugares",0))</f>
        <v>0</v>
      </c>
      <c r="BY26" s="840" t="str">
        <f>IF(O22="Sanitário público","nº de bacias",IF(O22="Estação ferroviária, rodoviária e metroviária","nº de passageiros",IF(O22="Cinema, teatro, templo, igreja e locais de curta permanência","nº de lugares",IF(O22="Restaurantes e similares", "nº de refeições","nº de pessoas"))))</f>
        <v>nº de pessoas</v>
      </c>
      <c r="BZ26" s="840"/>
      <c r="CA26" s="843"/>
      <c r="CB26" s="865"/>
      <c r="CC26" s="953"/>
      <c r="CD26" s="865"/>
      <c r="CE26" s="606"/>
      <c r="CF26" s="606"/>
      <c r="CG26" s="606"/>
      <c r="CH26" s="606"/>
      <c r="CI26" s="606"/>
      <c r="CJ26" s="606"/>
      <c r="CK26" s="606"/>
      <c r="CL26" s="606"/>
      <c r="CM26" s="606"/>
      <c r="CN26" s="606"/>
      <c r="CO26" s="606"/>
      <c r="CP26" s="606"/>
      <c r="CQ26" s="606"/>
      <c r="CR26" s="606"/>
      <c r="CS26" s="606"/>
      <c r="CT26" s="606"/>
      <c r="CU26" s="606"/>
      <c r="CV26" s="606"/>
      <c r="CW26" s="606"/>
      <c r="CX26" s="606"/>
      <c r="CY26" s="606"/>
      <c r="CZ26" s="606"/>
      <c r="DA26" s="606"/>
      <c r="DB26" s="606"/>
      <c r="DC26" s="606"/>
      <c r="DD26" s="606"/>
      <c r="DE26" s="606"/>
      <c r="DF26" s="606"/>
      <c r="DG26" s="606"/>
      <c r="DH26" s="606"/>
      <c r="DI26" s="606"/>
      <c r="DJ26" s="606"/>
      <c r="DK26" s="606"/>
      <c r="DL26" s="606"/>
      <c r="DM26" s="606"/>
      <c r="DN26" s="606"/>
      <c r="DO26" s="606"/>
      <c r="DP26" s="606"/>
      <c r="DQ26" s="606"/>
      <c r="DR26" s="606"/>
      <c r="DS26" s="606"/>
      <c r="DT26" s="606"/>
      <c r="DU26" s="606"/>
      <c r="DV26" s="606"/>
      <c r="DW26" s="606"/>
      <c r="DX26" s="606"/>
      <c r="DY26" s="606"/>
      <c r="DZ26" s="606"/>
    </row>
    <row r="27" spans="1:130" ht="15.75" customHeight="1" thickBot="1" x14ac:dyDescent="0.3">
      <c r="A27" s="1"/>
      <c r="B27" s="15"/>
      <c r="C27" s="678" t="s">
        <v>224</v>
      </c>
      <c r="D27" s="296" t="s">
        <v>188</v>
      </c>
      <c r="E27" s="296"/>
      <c r="F27" s="638" t="s">
        <v>186</v>
      </c>
      <c r="G27" s="638">
        <v>100</v>
      </c>
      <c r="H27" s="638">
        <v>1</v>
      </c>
      <c r="I27" s="21"/>
      <c r="J27" s="7"/>
      <c r="K27" s="422" t="s">
        <v>327</v>
      </c>
      <c r="L27" s="402"/>
      <c r="M27" s="26"/>
      <c r="N27" s="373"/>
      <c r="O27" s="1017" t="s">
        <v>7</v>
      </c>
      <c r="P27" s="1018"/>
      <c r="Q27" s="1018"/>
      <c r="R27" s="1019"/>
      <c r="S27" s="24" t="s">
        <v>13</v>
      </c>
      <c r="T27" s="23" t="str">
        <f>IF(BX8&lt;&gt;0,BX8,BY8)</f>
        <v>litros/pessoa</v>
      </c>
      <c r="U27" s="23">
        <f>IF(BX4&lt;&gt;0,BX4,IF(BY4&lt;&gt;0,BY4,IF(BZ4&lt;&gt;0,BZ4,IF(CA4&lt;&gt;0,CA4,"erro"))))</f>
        <v>160</v>
      </c>
      <c r="V27" s="315"/>
      <c r="W27" s="1"/>
      <c r="BK27" s="798"/>
      <c r="BL27" s="821"/>
      <c r="BM27" s="852"/>
      <c r="BN27" s="852"/>
      <c r="BO27" s="858" t="s">
        <v>182</v>
      </c>
      <c r="BP27" s="854"/>
      <c r="BQ27" s="854"/>
      <c r="BR27" s="854"/>
      <c r="BS27" s="854"/>
      <c r="BT27" s="855"/>
      <c r="BU27" s="860"/>
      <c r="BV27" s="856"/>
      <c r="BW27" s="856"/>
      <c r="BX27" s="839" t="s">
        <v>18</v>
      </c>
      <c r="BY27" s="840"/>
      <c r="BZ27" s="840"/>
      <c r="CA27" s="843"/>
      <c r="CB27" s="865"/>
      <c r="CC27" s="953"/>
      <c r="CD27" s="865"/>
      <c r="CE27" s="606"/>
      <c r="CF27" s="606"/>
      <c r="CG27" s="606"/>
      <c r="CH27" s="606"/>
      <c r="CI27" s="606"/>
      <c r="CJ27" s="606"/>
      <c r="CK27" s="606"/>
      <c r="CL27" s="606"/>
      <c r="CM27" s="606"/>
      <c r="CN27" s="606"/>
      <c r="CO27" s="606"/>
      <c r="CP27" s="606"/>
      <c r="CQ27" s="606"/>
      <c r="CR27" s="606"/>
      <c r="CS27" s="606"/>
      <c r="CT27" s="606"/>
      <c r="CU27" s="606"/>
      <c r="CV27" s="606"/>
      <c r="CW27" s="606"/>
      <c r="CX27" s="606"/>
      <c r="CY27" s="606"/>
      <c r="CZ27" s="606"/>
      <c r="DA27" s="606"/>
      <c r="DB27" s="606"/>
      <c r="DC27" s="606"/>
      <c r="DD27" s="606"/>
      <c r="DE27" s="606"/>
      <c r="DF27" s="606"/>
      <c r="DG27" s="606"/>
      <c r="DH27" s="606"/>
      <c r="DI27" s="606"/>
      <c r="DJ27" s="606"/>
      <c r="DK27" s="606"/>
      <c r="DL27" s="606"/>
      <c r="DM27" s="606"/>
      <c r="DN27" s="606"/>
      <c r="DO27" s="606"/>
      <c r="DP27" s="606"/>
      <c r="DQ27" s="606"/>
      <c r="DR27" s="606"/>
      <c r="DS27" s="606"/>
      <c r="DT27" s="606"/>
      <c r="DU27" s="606"/>
      <c r="DV27" s="606"/>
      <c r="DW27" s="606"/>
      <c r="DX27" s="606"/>
      <c r="DY27" s="606"/>
      <c r="DZ27" s="606"/>
    </row>
    <row r="28" spans="1:130" ht="15.75" customHeight="1" x14ac:dyDescent="0.25">
      <c r="A28" s="1"/>
      <c r="B28" s="15"/>
      <c r="C28" s="678" t="s">
        <v>224</v>
      </c>
      <c r="D28" s="296" t="str">
        <f t="shared" ref="D28:D35" si="0">BO7</f>
        <v>Hotel (exceto banheira, lavanderia e cozinha)</v>
      </c>
      <c r="E28" s="296"/>
      <c r="F28" s="638" t="s">
        <v>186</v>
      </c>
      <c r="G28" s="638">
        <v>100</v>
      </c>
      <c r="H28" s="638">
        <v>1</v>
      </c>
      <c r="I28" s="21"/>
      <c r="J28" s="7"/>
      <c r="K28" s="422"/>
      <c r="L28" s="402"/>
      <c r="M28" s="396"/>
      <c r="N28" s="373"/>
      <c r="O28" s="427"/>
      <c r="P28" s="427"/>
      <c r="Q28" s="427"/>
      <c r="R28" s="427"/>
      <c r="S28" s="24"/>
      <c r="T28" s="25"/>
      <c r="U28" s="25"/>
      <c r="V28" s="315"/>
      <c r="W28" s="1"/>
      <c r="BK28" s="798"/>
      <c r="BL28" s="868">
        <f>U52</f>
        <v>0</v>
      </c>
      <c r="BM28" s="852"/>
      <c r="BN28" s="852"/>
      <c r="BO28" s="869" t="s">
        <v>183</v>
      </c>
      <c r="BP28" s="870"/>
      <c r="BQ28" s="871"/>
      <c r="BR28" s="871"/>
      <c r="BS28" s="871"/>
      <c r="BT28" s="872"/>
      <c r="BU28" s="860"/>
      <c r="BV28" s="873"/>
      <c r="BW28" s="856"/>
      <c r="BX28" s="842">
        <f>IF($O$31="Restaurantes e similares","litros/refeição",IF($O$31="Cinema, teatros e locais de curta permanência", "litros/lugares",0))</f>
        <v>0</v>
      </c>
      <c r="BY28" s="840" t="str">
        <f>IF(O22="Sanitário público","litros/bacia",IF(O22="Estação ferroviária, rodoviária e metroviária","litros/passageiro",IF(O22="Restaurantes e similares", "litros/refeição",IF(O22="Cinema, teatro, templo, igreja e locais de curta permanência","litros/lugar",                                                            "litros/pessoa"))))</f>
        <v>litros/pessoa</v>
      </c>
      <c r="BZ28" s="840"/>
      <c r="CA28" s="843"/>
      <c r="CB28" s="865"/>
      <c r="CC28" s="953"/>
      <c r="CD28" s="865"/>
      <c r="CE28" s="606"/>
      <c r="CF28" s="606"/>
      <c r="CG28" s="606"/>
      <c r="CH28" s="606"/>
      <c r="CI28" s="606"/>
      <c r="CJ28" s="606"/>
      <c r="CK28" s="606"/>
      <c r="CL28" s="606"/>
      <c r="CM28" s="606"/>
      <c r="CN28" s="606"/>
      <c r="CO28" s="606"/>
      <c r="CP28" s="606"/>
      <c r="CQ28" s="606"/>
      <c r="CR28" s="606"/>
      <c r="CS28" s="606"/>
      <c r="CT28" s="606"/>
      <c r="CU28" s="606"/>
      <c r="CV28" s="606"/>
      <c r="CW28" s="606"/>
      <c r="CX28" s="606"/>
      <c r="CY28" s="606"/>
      <c r="CZ28" s="606"/>
      <c r="DA28" s="606"/>
      <c r="DB28" s="606"/>
      <c r="DC28" s="606"/>
      <c r="DD28" s="606"/>
      <c r="DE28" s="606"/>
      <c r="DF28" s="606"/>
      <c r="DG28" s="606"/>
      <c r="DH28" s="606"/>
      <c r="DI28" s="606"/>
      <c r="DJ28" s="606"/>
      <c r="DK28" s="606"/>
      <c r="DL28" s="606"/>
      <c r="DM28" s="606"/>
      <c r="DN28" s="606"/>
      <c r="DO28" s="606"/>
      <c r="DP28" s="606"/>
      <c r="DQ28" s="606"/>
      <c r="DR28" s="606"/>
      <c r="DS28" s="606"/>
      <c r="DT28" s="606"/>
      <c r="DU28" s="606"/>
      <c r="DV28" s="606"/>
      <c r="DW28" s="606"/>
      <c r="DX28" s="606"/>
      <c r="DY28" s="606"/>
      <c r="DZ28" s="606"/>
    </row>
    <row r="29" spans="1:130" ht="15.75" customHeight="1" thickBot="1" x14ac:dyDescent="0.3">
      <c r="A29" s="1"/>
      <c r="B29" s="15"/>
      <c r="C29" s="678" t="s">
        <v>224</v>
      </c>
      <c r="D29" s="296" t="str">
        <f t="shared" si="0"/>
        <v>Hotel com cozinha e lavanderia, exceto banheira</v>
      </c>
      <c r="E29" s="296"/>
      <c r="F29" s="638" t="s">
        <v>186</v>
      </c>
      <c r="G29" s="638">
        <v>240</v>
      </c>
      <c r="H29" s="638">
        <v>1</v>
      </c>
      <c r="I29" s="21"/>
      <c r="J29" s="7"/>
      <c r="K29" s="650"/>
      <c r="L29" s="402"/>
      <c r="M29" s="26"/>
      <c r="N29" s="372"/>
      <c r="O29" s="373"/>
      <c r="P29" s="596"/>
      <c r="Q29" s="596"/>
      <c r="R29" s="596"/>
      <c r="S29" s="24"/>
      <c r="T29" s="296"/>
      <c r="U29" s="25"/>
      <c r="V29" s="315"/>
      <c r="W29" s="1"/>
      <c r="BK29" s="798"/>
      <c r="BL29" s="852"/>
      <c r="BM29" s="852"/>
      <c r="BN29" s="852"/>
      <c r="BO29" s="833"/>
      <c r="BP29" s="860"/>
      <c r="BQ29" s="874"/>
      <c r="BR29" s="856"/>
      <c r="BS29" s="856"/>
      <c r="BT29" s="856"/>
      <c r="BU29" s="860"/>
      <c r="BV29" s="875"/>
      <c r="BW29" s="856"/>
      <c r="BX29" s="839" t="s">
        <v>20</v>
      </c>
      <c r="BY29" s="840"/>
      <c r="BZ29" s="840"/>
      <c r="CA29" s="843"/>
      <c r="CB29" s="865"/>
      <c r="CC29" s="953"/>
      <c r="CD29" s="865"/>
      <c r="CE29" s="606"/>
      <c r="CF29" s="606"/>
      <c r="CG29" s="606"/>
      <c r="CH29" s="606"/>
      <c r="CI29" s="606"/>
      <c r="CJ29" s="606"/>
      <c r="CK29" s="606"/>
      <c r="CL29" s="606"/>
      <c r="CM29" s="606"/>
      <c r="CN29" s="606"/>
      <c r="CO29" s="606"/>
      <c r="CP29" s="606"/>
      <c r="CQ29" s="606"/>
      <c r="CR29" s="606"/>
      <c r="CS29" s="606"/>
      <c r="CT29" s="606"/>
      <c r="CU29" s="606"/>
      <c r="CV29" s="606"/>
      <c r="CW29" s="606"/>
      <c r="CX29" s="606"/>
      <c r="CY29" s="606"/>
      <c r="CZ29" s="606"/>
      <c r="DA29" s="606"/>
      <c r="DB29" s="606"/>
      <c r="DC29" s="606"/>
      <c r="DD29" s="606"/>
      <c r="DE29" s="606"/>
      <c r="DF29" s="606"/>
      <c r="DG29" s="606"/>
      <c r="DH29" s="606"/>
      <c r="DI29" s="606"/>
      <c r="DJ29" s="606"/>
      <c r="DK29" s="606"/>
      <c r="DL29" s="606"/>
      <c r="DM29" s="606"/>
      <c r="DN29" s="606"/>
      <c r="DO29" s="606"/>
      <c r="DP29" s="606"/>
      <c r="DQ29" s="606"/>
      <c r="DR29" s="606"/>
      <c r="DS29" s="606"/>
      <c r="DT29" s="606"/>
      <c r="DU29" s="606"/>
      <c r="DV29" s="606"/>
      <c r="DW29" s="606"/>
      <c r="DX29" s="606"/>
      <c r="DY29" s="606"/>
      <c r="DZ29" s="606"/>
    </row>
    <row r="30" spans="1:130" ht="15.75" customHeight="1" thickBot="1" x14ac:dyDescent="0.3">
      <c r="A30" s="6"/>
      <c r="B30" s="15"/>
      <c r="C30" s="678" t="s">
        <v>224</v>
      </c>
      <c r="D30" s="296" t="str">
        <f t="shared" si="0"/>
        <v>Hotel com cozinha, lavanderia e banheira</v>
      </c>
      <c r="E30" s="296"/>
      <c r="F30" s="638" t="s">
        <v>186</v>
      </c>
      <c r="G30" s="638">
        <v>360</v>
      </c>
      <c r="H30" s="638">
        <v>1</v>
      </c>
      <c r="I30" s="18"/>
      <c r="J30" s="7"/>
      <c r="K30" s="650"/>
      <c r="L30" s="402"/>
      <c r="M30" s="26"/>
      <c r="N30" s="372"/>
      <c r="O30" s="1014" t="s">
        <v>14</v>
      </c>
      <c r="P30" s="1015"/>
      <c r="Q30" s="1015"/>
      <c r="R30" s="1016"/>
      <c r="S30" s="24"/>
      <c r="T30" s="25"/>
      <c r="U30" s="25"/>
      <c r="V30" s="315"/>
      <c r="W30" s="1"/>
      <c r="BK30" s="798"/>
      <c r="BL30" s="852"/>
      <c r="BM30" s="852"/>
      <c r="BN30" s="852"/>
      <c r="BO30" s="840"/>
      <c r="BP30" s="856"/>
      <c r="BQ30" s="860"/>
      <c r="BR30" s="875"/>
      <c r="BS30" s="875"/>
      <c r="BT30" s="856"/>
      <c r="BU30" s="856"/>
      <c r="BV30" s="875"/>
      <c r="BW30" s="873"/>
      <c r="BX30" s="842">
        <f>IF($O$31="Restaurantes e similares","refeições",IF($O$31="Cinema, teatros e locais de curta permanência", "lugares",0))</f>
        <v>0</v>
      </c>
      <c r="BY30" s="840" t="str">
        <f>IF(O22="Sanitário público","bacias",IF(O22="Estação ferroviária, rodoviária e metroviária","passageiros",IF(O22="Restaurantes e similares", "refeições",IF(O22="Cinema, teatro, templo, igreja e locais de curta permanência", "lugares","pessoas"))))</f>
        <v>pessoas</v>
      </c>
      <c r="BZ30" s="840"/>
      <c r="CA30" s="841"/>
      <c r="CB30" s="865"/>
      <c r="CC30" s="953"/>
      <c r="CD30" s="865"/>
      <c r="CE30" s="606"/>
      <c r="CF30" s="606"/>
      <c r="CG30" s="606"/>
      <c r="CH30" s="606"/>
      <c r="CI30" s="606"/>
      <c r="CJ30" s="606"/>
      <c r="CK30" s="606"/>
      <c r="CL30" s="606"/>
      <c r="CM30" s="606"/>
      <c r="CN30" s="606"/>
      <c r="CO30" s="606"/>
      <c r="CP30" s="606"/>
      <c r="CQ30" s="606"/>
      <c r="CR30" s="606"/>
      <c r="CS30" s="606"/>
      <c r="CT30" s="606"/>
      <c r="CU30" s="606"/>
      <c r="CV30" s="606"/>
      <c r="CW30" s="606"/>
      <c r="CX30" s="606"/>
      <c r="CY30" s="606"/>
      <c r="CZ30" s="606"/>
      <c r="DA30" s="606"/>
      <c r="DB30" s="606"/>
      <c r="DC30" s="606"/>
      <c r="DD30" s="606"/>
      <c r="DE30" s="606"/>
      <c r="DF30" s="606"/>
      <c r="DG30" s="606"/>
      <c r="DH30" s="606"/>
      <c r="DI30" s="606"/>
      <c r="DJ30" s="606"/>
      <c r="DK30" s="606"/>
      <c r="DL30" s="606"/>
      <c r="DM30" s="606"/>
      <c r="DN30" s="606"/>
      <c r="DO30" s="606"/>
      <c r="DP30" s="606"/>
      <c r="DQ30" s="606"/>
      <c r="DR30" s="606"/>
      <c r="DS30" s="606"/>
      <c r="DT30" s="606"/>
      <c r="DU30" s="606"/>
      <c r="DV30" s="606"/>
      <c r="DW30" s="606"/>
      <c r="DX30" s="606"/>
      <c r="DY30" s="606"/>
      <c r="DZ30" s="606"/>
    </row>
    <row r="31" spans="1:130" ht="15.75" customHeight="1" thickBot="1" x14ac:dyDescent="0.3">
      <c r="A31" s="6"/>
      <c r="B31" s="15"/>
      <c r="C31" s="678" t="s">
        <v>224</v>
      </c>
      <c r="D31" s="296" t="str">
        <f t="shared" si="0"/>
        <v>Alojamento Provisório</v>
      </c>
      <c r="E31" s="296"/>
      <c r="F31" s="638" t="s">
        <v>186</v>
      </c>
      <c r="G31" s="638">
        <v>80</v>
      </c>
      <c r="H31" s="638">
        <v>1</v>
      </c>
      <c r="I31" s="18"/>
      <c r="J31" s="7"/>
      <c r="K31" s="422" t="s">
        <v>328</v>
      </c>
      <c r="L31" s="402"/>
      <c r="M31" s="26"/>
      <c r="N31" s="373"/>
      <c r="O31" s="1017" t="s">
        <v>167</v>
      </c>
      <c r="P31" s="1018"/>
      <c r="Q31" s="1018"/>
      <c r="R31" s="1019"/>
      <c r="S31" s="377" t="s">
        <v>21</v>
      </c>
      <c r="T31" s="23" t="str">
        <f>IF(BX28&lt;&gt;0,BX28,BY28)</f>
        <v>litros/pessoa</v>
      </c>
      <c r="U31" s="23">
        <f>IF(BX22&lt;&gt;0,BX22,IF(BY22&lt;&gt;0,BY22,IF(BZ22&lt;&gt;0,BZ22,IF(CA22&lt;&gt;0,CA22,0))))</f>
        <v>0</v>
      </c>
      <c r="V31" s="315"/>
      <c r="W31" s="1"/>
      <c r="BK31" s="798"/>
      <c r="BL31" s="852"/>
      <c r="BM31" s="852"/>
      <c r="BN31" s="852"/>
      <c r="BO31" s="1020" t="s">
        <v>51</v>
      </c>
      <c r="BP31" s="856"/>
      <c r="BQ31" s="856"/>
      <c r="BR31" s="875"/>
      <c r="BS31" s="875"/>
      <c r="BT31" s="856"/>
      <c r="BU31" s="856"/>
      <c r="BV31" s="875"/>
      <c r="BW31" s="875"/>
      <c r="BX31" s="844"/>
      <c r="BY31" s="845"/>
      <c r="BZ31" s="845"/>
      <c r="CA31" s="846"/>
      <c r="CB31" s="865"/>
      <c r="CC31" s="954"/>
      <c r="CD31" s="865"/>
      <c r="CE31" s="606"/>
      <c r="CF31" s="606"/>
      <c r="CG31" s="606"/>
      <c r="CH31" s="606"/>
      <c r="CI31" s="606"/>
      <c r="CJ31" s="606"/>
      <c r="CK31" s="606"/>
      <c r="CL31" s="606"/>
      <c r="CM31" s="606"/>
      <c r="CN31" s="606"/>
      <c r="CO31" s="606"/>
      <c r="CP31" s="606"/>
      <c r="CQ31" s="606"/>
      <c r="CR31" s="606"/>
      <c r="CS31" s="606"/>
      <c r="CT31" s="606"/>
      <c r="CU31" s="606"/>
      <c r="CV31" s="606"/>
      <c r="CW31" s="606"/>
      <c r="CX31" s="606"/>
      <c r="CY31" s="606"/>
      <c r="CZ31" s="606"/>
      <c r="DA31" s="606"/>
      <c r="DB31" s="606"/>
      <c r="DC31" s="606"/>
      <c r="DD31" s="606"/>
      <c r="DE31" s="606"/>
      <c r="DF31" s="606"/>
      <c r="DG31" s="606"/>
      <c r="DH31" s="606"/>
      <c r="DI31" s="606"/>
      <c r="DJ31" s="606"/>
      <c r="DK31" s="606"/>
      <c r="DL31" s="606"/>
      <c r="DM31" s="606"/>
      <c r="DN31" s="606"/>
      <c r="DO31" s="606"/>
      <c r="DP31" s="606"/>
      <c r="DQ31" s="606"/>
      <c r="DR31" s="606"/>
      <c r="DS31" s="606"/>
      <c r="DT31" s="606"/>
      <c r="DU31" s="606"/>
      <c r="DV31" s="606"/>
      <c r="DW31" s="606"/>
      <c r="DX31" s="606"/>
      <c r="DY31" s="606"/>
      <c r="DZ31" s="606"/>
    </row>
    <row r="32" spans="1:130" ht="15.75" customHeight="1" thickBot="1" x14ac:dyDescent="0.3">
      <c r="A32" s="6"/>
      <c r="B32" s="15"/>
      <c r="C32" s="678" t="s">
        <v>224</v>
      </c>
      <c r="D32" s="296" t="str">
        <f t="shared" si="0"/>
        <v>Orfanato - Asilo</v>
      </c>
      <c r="E32" s="296"/>
      <c r="F32" s="638" t="s">
        <v>186</v>
      </c>
      <c r="G32" s="638">
        <v>120</v>
      </c>
      <c r="H32" s="638">
        <v>1</v>
      </c>
      <c r="I32" s="27"/>
      <c r="J32" s="6"/>
      <c r="K32" s="650"/>
      <c r="L32" s="402"/>
      <c r="M32" s="26"/>
      <c r="N32" s="413"/>
      <c r="O32" s="489" t="s">
        <v>215</v>
      </c>
      <c r="P32" s="486"/>
      <c r="Q32" s="490"/>
      <c r="R32" s="490"/>
      <c r="S32" s="415"/>
      <c r="T32" s="56"/>
      <c r="U32" s="371"/>
      <c r="V32" s="315"/>
      <c r="W32" s="1"/>
      <c r="X32" s="471"/>
      <c r="Y32" s="471"/>
      <c r="Z32" s="471"/>
      <c r="AA32" s="471"/>
      <c r="AB32" s="471"/>
      <c r="AC32" s="471"/>
      <c r="AD32" s="471"/>
      <c r="AE32" s="471"/>
      <c r="AF32" s="471"/>
      <c r="AG32" s="471"/>
      <c r="AH32" s="471"/>
      <c r="AI32" s="471"/>
      <c r="AJ32" s="471"/>
      <c r="AK32" s="471"/>
      <c r="AL32" s="471"/>
      <c r="AM32" s="471"/>
      <c r="AN32" s="471"/>
      <c r="AO32" s="471"/>
      <c r="AP32" s="471"/>
      <c r="AQ32" s="471"/>
      <c r="AR32" s="471"/>
      <c r="AS32" s="471"/>
      <c r="AT32" s="471"/>
      <c r="AU32" s="471"/>
      <c r="AV32" s="471"/>
      <c r="AW32" s="471"/>
      <c r="AX32" s="471"/>
      <c r="AY32" s="471"/>
      <c r="AZ32" s="471"/>
      <c r="BA32" s="471"/>
      <c r="BB32" s="471"/>
      <c r="BC32" s="471"/>
      <c r="BD32" s="471"/>
      <c r="BE32" s="471"/>
      <c r="BF32" s="471"/>
      <c r="BG32" s="471"/>
      <c r="BH32" s="471"/>
      <c r="BI32" s="471"/>
      <c r="BJ32" s="471"/>
      <c r="BK32" s="798"/>
      <c r="BL32" s="852"/>
      <c r="BM32" s="852"/>
      <c r="BN32" s="852"/>
      <c r="BO32" s="1021"/>
      <c r="BP32" s="856"/>
      <c r="BQ32" s="856"/>
      <c r="BR32" s="875"/>
      <c r="BS32" s="875"/>
      <c r="BT32" s="856"/>
      <c r="BU32" s="856"/>
      <c r="BV32" s="875"/>
      <c r="BW32" s="875"/>
      <c r="BX32" s="848"/>
      <c r="BY32" s="849"/>
      <c r="BZ32" s="849"/>
      <c r="CA32" s="850"/>
      <c r="CB32" s="865"/>
      <c r="CC32" s="955"/>
      <c r="CD32" s="865"/>
      <c r="CE32" s="606"/>
      <c r="CF32" s="606"/>
      <c r="CG32" s="606"/>
      <c r="CH32" s="606"/>
      <c r="CI32" s="606"/>
      <c r="CJ32" s="606"/>
      <c r="CK32" s="606"/>
      <c r="CL32" s="606"/>
      <c r="CM32" s="606"/>
      <c r="CN32" s="606"/>
      <c r="CO32" s="606"/>
      <c r="CP32" s="606"/>
      <c r="CQ32" s="606"/>
      <c r="CR32" s="606"/>
      <c r="CS32" s="606"/>
      <c r="CT32" s="606"/>
      <c r="CU32" s="606"/>
      <c r="CV32" s="606"/>
      <c r="CW32" s="606"/>
      <c r="CX32" s="606"/>
      <c r="CY32" s="606"/>
      <c r="CZ32" s="606"/>
      <c r="DA32" s="606"/>
      <c r="DB32" s="606"/>
      <c r="DC32" s="606"/>
      <c r="DD32" s="606"/>
      <c r="DE32" s="606"/>
      <c r="DF32" s="606"/>
      <c r="DG32" s="606"/>
      <c r="DH32" s="606"/>
      <c r="DI32" s="606"/>
      <c r="DJ32" s="606"/>
      <c r="DK32" s="606"/>
      <c r="DL32" s="606"/>
      <c r="DM32" s="606"/>
      <c r="DN32" s="606"/>
      <c r="DO32" s="606"/>
      <c r="DP32" s="606"/>
      <c r="DQ32" s="606"/>
      <c r="DR32" s="606"/>
      <c r="DS32" s="606"/>
      <c r="DT32" s="606"/>
      <c r="DU32" s="606"/>
      <c r="DV32" s="606"/>
      <c r="DW32" s="606"/>
      <c r="DX32" s="606"/>
      <c r="DY32" s="606"/>
      <c r="DZ32" s="606"/>
    </row>
    <row r="33" spans="1:130" ht="15.75" customHeight="1" x14ac:dyDescent="0.25">
      <c r="A33" s="6"/>
      <c r="B33" s="15"/>
      <c r="C33" s="678" t="s">
        <v>224</v>
      </c>
      <c r="D33" s="296" t="str">
        <f t="shared" si="0"/>
        <v>Escola (internato)</v>
      </c>
      <c r="E33" s="296"/>
      <c r="F33" s="638" t="s">
        <v>186</v>
      </c>
      <c r="G33" s="638">
        <v>150</v>
      </c>
      <c r="H33" s="638">
        <v>1</v>
      </c>
      <c r="I33" s="27"/>
      <c r="J33" s="6"/>
      <c r="K33" s="650"/>
      <c r="L33" s="402"/>
      <c r="M33" s="26"/>
      <c r="N33" s="413"/>
      <c r="O33" s="413" t="s">
        <v>216</v>
      </c>
      <c r="P33" s="486"/>
      <c r="Q33" s="490"/>
      <c r="R33" s="490"/>
      <c r="S33" s="415"/>
      <c r="T33" s="56"/>
      <c r="U33" s="371"/>
      <c r="V33" s="315"/>
      <c r="W33" s="1"/>
      <c r="X33" s="471"/>
      <c r="Y33" s="471"/>
      <c r="Z33" s="471"/>
      <c r="AA33" s="471"/>
      <c r="AB33" s="471"/>
      <c r="AC33" s="471"/>
      <c r="AD33" s="471"/>
      <c r="AE33" s="471"/>
      <c r="AF33" s="471"/>
      <c r="AG33" s="471"/>
      <c r="AH33" s="471"/>
      <c r="AI33" s="471"/>
      <c r="AJ33" s="471"/>
      <c r="AK33" s="471"/>
      <c r="AL33" s="471"/>
      <c r="AM33" s="471"/>
      <c r="AN33" s="471"/>
      <c r="AO33" s="471"/>
      <c r="AP33" s="471"/>
      <c r="AQ33" s="471"/>
      <c r="AR33" s="471"/>
      <c r="AS33" s="471"/>
      <c r="AT33" s="471"/>
      <c r="AU33" s="471"/>
      <c r="AV33" s="471"/>
      <c r="AW33" s="471"/>
      <c r="AX33" s="471"/>
      <c r="AY33" s="471"/>
      <c r="AZ33" s="471"/>
      <c r="BA33" s="471"/>
      <c r="BB33" s="471"/>
      <c r="BC33" s="471"/>
      <c r="BD33" s="471"/>
      <c r="BE33" s="471"/>
      <c r="BF33" s="471"/>
      <c r="BG33" s="471"/>
      <c r="BH33" s="471"/>
      <c r="BI33" s="471"/>
      <c r="BJ33" s="471"/>
      <c r="BK33" s="798"/>
      <c r="BL33" s="852"/>
      <c r="BM33" s="852"/>
      <c r="BN33" s="852"/>
      <c r="BO33" s="878">
        <v>1</v>
      </c>
      <c r="BP33" s="856"/>
      <c r="BQ33" s="856"/>
      <c r="BR33" s="875"/>
      <c r="BS33" s="875"/>
      <c r="BT33" s="856"/>
      <c r="BU33" s="856"/>
      <c r="BV33" s="875"/>
      <c r="BW33" s="875"/>
      <c r="BX33" s="839" t="s">
        <v>26</v>
      </c>
      <c r="BY33" s="840"/>
      <c r="BZ33" s="840"/>
      <c r="CA33" s="843"/>
      <c r="CB33" s="865"/>
      <c r="CC33" s="955"/>
      <c r="CD33" s="865"/>
      <c r="CE33" s="606"/>
      <c r="CF33" s="606"/>
      <c r="CG33" s="606"/>
      <c r="CH33" s="606"/>
      <c r="CI33" s="606"/>
      <c r="CJ33" s="606"/>
      <c r="CK33" s="606"/>
      <c r="CL33" s="606"/>
      <c r="CM33" s="606"/>
      <c r="CN33" s="606"/>
      <c r="CO33" s="606"/>
      <c r="CP33" s="606"/>
      <c r="CQ33" s="606"/>
      <c r="CR33" s="606"/>
      <c r="CS33" s="606"/>
      <c r="CT33" s="606"/>
      <c r="CU33" s="606"/>
      <c r="CV33" s="606"/>
      <c r="CW33" s="606"/>
      <c r="CX33" s="606"/>
      <c r="CY33" s="606"/>
      <c r="CZ33" s="606"/>
      <c r="DA33" s="606"/>
      <c r="DB33" s="606"/>
      <c r="DC33" s="606"/>
      <c r="DD33" s="606"/>
      <c r="DE33" s="606"/>
      <c r="DF33" s="606"/>
      <c r="DG33" s="606"/>
      <c r="DH33" s="606"/>
      <c r="DI33" s="606"/>
      <c r="DJ33" s="606"/>
      <c r="DK33" s="606"/>
      <c r="DL33" s="606"/>
      <c r="DM33" s="606"/>
      <c r="DN33" s="606"/>
      <c r="DO33" s="606"/>
      <c r="DP33" s="606"/>
      <c r="DQ33" s="606"/>
      <c r="DR33" s="606"/>
      <c r="DS33" s="606"/>
      <c r="DT33" s="606"/>
      <c r="DU33" s="606"/>
      <c r="DV33" s="606"/>
      <c r="DW33" s="606"/>
      <c r="DX33" s="606"/>
      <c r="DY33" s="606"/>
      <c r="DZ33" s="606"/>
    </row>
    <row r="34" spans="1:130" ht="15.75" customHeight="1" x14ac:dyDescent="0.25">
      <c r="A34" s="6"/>
      <c r="B34" s="15"/>
      <c r="C34" s="678" t="s">
        <v>224</v>
      </c>
      <c r="D34" s="296" t="str">
        <f t="shared" si="0"/>
        <v>Presídio</v>
      </c>
      <c r="E34" s="296"/>
      <c r="F34" s="638" t="s">
        <v>186</v>
      </c>
      <c r="G34" s="638">
        <v>240</v>
      </c>
      <c r="H34" s="638">
        <v>1</v>
      </c>
      <c r="I34" s="27"/>
      <c r="J34" s="6"/>
      <c r="K34" s="650"/>
      <c r="L34" s="402"/>
      <c r="M34" s="26"/>
      <c r="N34" s="413"/>
      <c r="O34" s="413"/>
      <c r="P34" s="414"/>
      <c r="Q34" s="414"/>
      <c r="R34" s="414"/>
      <c r="S34" s="415"/>
      <c r="T34" s="56"/>
      <c r="U34" s="371"/>
      <c r="V34" s="315"/>
      <c r="W34" s="1"/>
      <c r="X34" s="473"/>
      <c r="Y34" s="473"/>
      <c r="Z34" s="473"/>
      <c r="AA34" s="473"/>
      <c r="AB34" s="473"/>
      <c r="AC34" s="473"/>
      <c r="AD34" s="473"/>
      <c r="AE34" s="473"/>
      <c r="AF34" s="473"/>
      <c r="AG34" s="473"/>
      <c r="AH34" s="473"/>
      <c r="AI34" s="473"/>
      <c r="AJ34" s="473"/>
      <c r="AK34" s="473"/>
      <c r="AL34" s="473"/>
      <c r="AM34" s="473"/>
      <c r="AN34" s="473"/>
      <c r="AO34" s="473"/>
      <c r="AP34" s="473"/>
      <c r="AQ34" s="473"/>
      <c r="AR34" s="473"/>
      <c r="AS34" s="473"/>
      <c r="AT34" s="473"/>
      <c r="AU34" s="473"/>
      <c r="AV34" s="473"/>
      <c r="AW34" s="473"/>
      <c r="AX34" s="473"/>
      <c r="AY34" s="473"/>
      <c r="AZ34" s="473"/>
      <c r="BA34" s="473"/>
      <c r="BB34" s="473"/>
      <c r="BC34" s="473"/>
      <c r="BD34" s="473"/>
      <c r="BE34" s="473"/>
      <c r="BF34" s="473"/>
      <c r="BG34" s="473"/>
      <c r="BH34" s="473"/>
      <c r="BI34" s="473"/>
      <c r="BJ34" s="473"/>
      <c r="BK34" s="798"/>
      <c r="BL34" s="852"/>
      <c r="BM34" s="852"/>
      <c r="BN34" s="852"/>
      <c r="BO34" s="879">
        <v>2</v>
      </c>
      <c r="BP34" s="856"/>
      <c r="BQ34" s="875"/>
      <c r="BR34" s="875"/>
      <c r="BS34" s="856"/>
      <c r="BT34" s="856"/>
      <c r="BU34" s="856"/>
      <c r="BV34" s="875"/>
      <c r="BW34" s="875"/>
      <c r="BX34" s="839">
        <f>IF($O$31="Resid. Padrão Alto",1,IF($O$31="Resid. Padrão Médio",1,IF($O$31="Resid. Padrão Baixo",1,IF($O$31="Hotel (exceto banheira, lavanderia e cozinha)",1,IF($O$31="Hotel com cozinha e lavanderia, exceto banheira",1,IF($O$31="Hotel com cozinha, lavanderia e banheira",1,IF($O$31="Alojamento Provisório",1,IF($O$31="Orfanato - Asilo",1,IF($O$31="Escola (internato)",1,IF($O$31="Presídio",1,IF($O$31="Quartel",1,IF($O$31="Área rural",1,IF($O$31="Fábrica em Geral",0.3,0)))))))))))))</f>
        <v>0</v>
      </c>
      <c r="BY34" s="840">
        <f>IF($O$31="Escritório",0.2,IF($O$31="Edifício público ou comercial",0.2,IF($O$31="Escola de meio período",0.2,IF($O$31="Escola de período integral",0.3,IF($O$31="Creche",0.2,IF($O$31="Bar",0.1,0))))))</f>
        <v>0</v>
      </c>
      <c r="BZ34" s="840">
        <f>IF($O$31="Restaurantes e similares",0.1,IF($O$31="Cinema, teatro, templo, igreja e locais de curta permanência",0.02,0))</f>
        <v>0</v>
      </c>
      <c r="CA34" s="841">
        <f>IF($O$31="Ambulatório",0.2,IF($O$31="Estação ferroviária, rodoviária e metroviária",0.2,IF($O$31="Sanitário público",4,0)))</f>
        <v>0</v>
      </c>
      <c r="CB34" s="865"/>
      <c r="CC34" s="955"/>
      <c r="CD34" s="865"/>
      <c r="CE34" s="606"/>
      <c r="CF34" s="606"/>
      <c r="CG34" s="606"/>
      <c r="CH34" s="606"/>
      <c r="CI34" s="606"/>
      <c r="CJ34" s="606"/>
      <c r="CK34" s="606"/>
      <c r="CL34" s="606"/>
      <c r="CM34" s="606"/>
      <c r="CN34" s="606"/>
      <c r="CO34" s="606"/>
      <c r="CP34" s="606"/>
      <c r="CQ34" s="606"/>
      <c r="CR34" s="606"/>
      <c r="CS34" s="606"/>
      <c r="CT34" s="606"/>
      <c r="CU34" s="606"/>
      <c r="CV34" s="606"/>
      <c r="CW34" s="606"/>
      <c r="CX34" s="606"/>
      <c r="CY34" s="606"/>
      <c r="CZ34" s="606"/>
      <c r="DA34" s="606"/>
      <c r="DB34" s="606"/>
      <c r="DC34" s="606"/>
      <c r="DD34" s="606"/>
      <c r="DE34" s="606"/>
      <c r="DF34" s="606"/>
      <c r="DG34" s="606"/>
      <c r="DH34" s="606"/>
      <c r="DI34" s="606"/>
      <c r="DJ34" s="606"/>
      <c r="DK34" s="606"/>
      <c r="DL34" s="606"/>
      <c r="DM34" s="606"/>
      <c r="DN34" s="606"/>
      <c r="DO34" s="606"/>
      <c r="DP34" s="606"/>
      <c r="DQ34" s="606"/>
      <c r="DR34" s="606"/>
      <c r="DS34" s="606"/>
      <c r="DT34" s="606"/>
      <c r="DU34" s="606"/>
      <c r="DV34" s="606"/>
      <c r="DW34" s="606"/>
      <c r="DX34" s="606"/>
      <c r="DY34" s="606"/>
      <c r="DZ34" s="606"/>
    </row>
    <row r="35" spans="1:130" ht="15.75" customHeight="1" thickBot="1" x14ac:dyDescent="0.3">
      <c r="A35" s="6"/>
      <c r="B35" s="15"/>
      <c r="C35" s="678" t="s">
        <v>224</v>
      </c>
      <c r="D35" s="296" t="str">
        <f t="shared" si="0"/>
        <v>Quartel</v>
      </c>
      <c r="E35" s="296"/>
      <c r="F35" s="638" t="s">
        <v>186</v>
      </c>
      <c r="G35" s="638">
        <v>120</v>
      </c>
      <c r="H35" s="638">
        <v>1</v>
      </c>
      <c r="I35" s="27"/>
      <c r="J35" s="6"/>
      <c r="K35" s="650"/>
      <c r="L35" s="402"/>
      <c r="M35" s="26"/>
      <c r="N35" s="413"/>
      <c r="O35" s="413"/>
      <c r="P35" s="414"/>
      <c r="Q35" s="414"/>
      <c r="R35" s="414"/>
      <c r="S35" s="415"/>
      <c r="T35" s="56"/>
      <c r="U35" s="371"/>
      <c r="V35" s="315"/>
      <c r="W35" s="1"/>
      <c r="X35" s="471"/>
      <c r="Y35" s="471"/>
      <c r="Z35" s="471"/>
      <c r="AA35" s="471"/>
      <c r="AB35" s="471"/>
      <c r="AC35" s="471"/>
      <c r="AD35" s="471"/>
      <c r="AE35" s="471"/>
      <c r="AF35" s="471"/>
      <c r="AG35" s="471"/>
      <c r="AH35" s="471"/>
      <c r="AI35" s="471"/>
      <c r="AJ35" s="471"/>
      <c r="AK35" s="471"/>
      <c r="AL35" s="471"/>
      <c r="AM35" s="471"/>
      <c r="AN35" s="471"/>
      <c r="AO35" s="471"/>
      <c r="AP35" s="471"/>
      <c r="AQ35" s="471"/>
      <c r="AR35" s="471"/>
      <c r="AS35" s="471"/>
      <c r="AT35" s="471"/>
      <c r="AU35" s="471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798"/>
      <c r="BL35" s="852"/>
      <c r="BM35" s="852"/>
      <c r="BN35" s="880"/>
      <c r="BO35" s="879">
        <v>3</v>
      </c>
      <c r="BP35" s="856"/>
      <c r="BQ35" s="875"/>
      <c r="BR35" s="875"/>
      <c r="BS35" s="856"/>
      <c r="BT35" s="856"/>
      <c r="BU35" s="856"/>
      <c r="BV35" s="875"/>
      <c r="BW35" s="840"/>
      <c r="BX35" s="839" t="s">
        <v>27</v>
      </c>
      <c r="BY35" s="840"/>
      <c r="BZ35" s="840"/>
      <c r="CA35" s="841"/>
      <c r="CB35" s="877"/>
      <c r="CC35" s="949"/>
      <c r="CD35" s="865"/>
      <c r="CE35" s="606"/>
      <c r="CF35" s="606"/>
      <c r="CG35" s="606"/>
      <c r="CH35" s="606"/>
      <c r="CI35" s="606"/>
      <c r="CJ35" s="606"/>
      <c r="CK35" s="606"/>
      <c r="CL35" s="606"/>
      <c r="CM35" s="606"/>
      <c r="CN35" s="606"/>
      <c r="CO35" s="606"/>
      <c r="CP35" s="606"/>
      <c r="CQ35" s="606"/>
      <c r="CR35" s="606"/>
      <c r="CS35" s="606"/>
      <c r="CT35" s="606"/>
      <c r="CU35" s="606"/>
      <c r="CV35" s="606"/>
      <c r="CW35" s="606"/>
      <c r="CX35" s="606"/>
      <c r="CY35" s="606"/>
      <c r="CZ35" s="606"/>
      <c r="DA35" s="606"/>
      <c r="DB35" s="606"/>
      <c r="DC35" s="606"/>
      <c r="DD35" s="606"/>
      <c r="DE35" s="606"/>
      <c r="DF35" s="606"/>
      <c r="DG35" s="606"/>
      <c r="DH35" s="606"/>
      <c r="DI35" s="606"/>
      <c r="DJ35" s="606"/>
      <c r="DK35" s="606"/>
      <c r="DL35" s="606"/>
      <c r="DM35" s="606"/>
      <c r="DN35" s="606"/>
      <c r="DO35" s="606"/>
      <c r="DP35" s="606"/>
      <c r="DQ35" s="606"/>
      <c r="DR35" s="606"/>
      <c r="DS35" s="606"/>
      <c r="DT35" s="606"/>
      <c r="DU35" s="606"/>
      <c r="DV35" s="606"/>
      <c r="DW35" s="606"/>
      <c r="DX35" s="606"/>
      <c r="DY35" s="606"/>
    </row>
    <row r="36" spans="1:130" ht="15.75" customHeight="1" thickBot="1" x14ac:dyDescent="0.3">
      <c r="A36" s="6"/>
      <c r="B36" s="15"/>
      <c r="C36" s="678" t="s">
        <v>224</v>
      </c>
      <c r="D36" s="296" t="str">
        <f t="shared" ref="D36" si="1">BO15</f>
        <v>Área rural</v>
      </c>
      <c r="E36" s="296"/>
      <c r="F36" s="638" t="s">
        <v>186</v>
      </c>
      <c r="G36" s="638">
        <v>100</v>
      </c>
      <c r="H36" s="638">
        <v>1</v>
      </c>
      <c r="I36" s="27"/>
      <c r="J36" s="6"/>
      <c r="K36" s="650"/>
      <c r="L36" s="402"/>
      <c r="M36" s="26" t="s">
        <v>22</v>
      </c>
      <c r="N36" s="599" t="s">
        <v>23</v>
      </c>
      <c r="O36" s="599"/>
      <c r="P36" s="56"/>
      <c r="Q36" s="56"/>
      <c r="R36" s="56"/>
      <c r="S36" s="377" t="s">
        <v>13</v>
      </c>
      <c r="T36" s="491" t="str">
        <f>IF(BX10&lt;&gt;0,BX10,BY10)</f>
        <v>pessoas</v>
      </c>
      <c r="U36" s="517">
        <v>5</v>
      </c>
      <c r="V36" s="315"/>
      <c r="W36" s="1"/>
      <c r="X36" s="471"/>
      <c r="Y36" s="471"/>
      <c r="Z36" s="471"/>
      <c r="AA36" s="471"/>
      <c r="AB36" s="471"/>
      <c r="AC36" s="471"/>
      <c r="AD36" s="471"/>
      <c r="AE36" s="471"/>
      <c r="AF36" s="471"/>
      <c r="AG36" s="471"/>
      <c r="AH36" s="471"/>
      <c r="AI36" s="471"/>
      <c r="AJ36" s="471"/>
      <c r="AK36" s="471"/>
      <c r="AL36" s="471"/>
      <c r="AM36" s="471"/>
      <c r="AN36" s="471"/>
      <c r="AO36" s="471"/>
      <c r="AP36" s="471"/>
      <c r="AQ36" s="471"/>
      <c r="AR36" s="471"/>
      <c r="AS36" s="471"/>
      <c r="AT36" s="471"/>
      <c r="AU36" s="471"/>
      <c r="AV36" s="471"/>
      <c r="AW36" s="471"/>
      <c r="AX36" s="471"/>
      <c r="AY36" s="471"/>
      <c r="AZ36" s="471"/>
      <c r="BA36" s="471"/>
      <c r="BB36" s="471"/>
      <c r="BC36" s="471"/>
      <c r="BD36" s="471"/>
      <c r="BE36" s="471"/>
      <c r="BF36" s="471"/>
      <c r="BG36" s="471"/>
      <c r="BH36" s="471"/>
      <c r="BI36" s="471"/>
      <c r="BJ36" s="471"/>
      <c r="BK36" s="798"/>
      <c r="BL36" s="852"/>
      <c r="BM36" s="852"/>
      <c r="BN36" s="852"/>
      <c r="BO36" s="879">
        <v>4</v>
      </c>
      <c r="BP36" s="856"/>
      <c r="BQ36" s="875"/>
      <c r="BR36" s="875"/>
      <c r="BS36" s="856"/>
      <c r="BT36" s="856"/>
      <c r="BU36" s="856"/>
      <c r="BV36" s="875"/>
      <c r="BW36" s="875"/>
      <c r="BX36" s="844">
        <f>IF(U59&lt;=1500,1,IF(AND(1500&lt;U59,U59&lt;=3000),0.92,IF(AND(3000&lt;U59,U59&lt;=4500),0.83,IF(AND(4500&lt;U59,U59&lt;=6000),0.75,0))))</f>
        <v>1</v>
      </c>
      <c r="BY36" s="845">
        <f>IF(AND(6000&lt;U59,U59&lt;=7500),0.67,IF(AND(7500&lt;U59,U59&lt;=9000),0.58,0.5))</f>
        <v>0.5</v>
      </c>
      <c r="BZ36" s="845"/>
      <c r="CA36" s="846"/>
      <c r="CB36" s="865"/>
      <c r="CC36" s="955"/>
      <c r="CD36" s="865"/>
      <c r="CE36" s="606"/>
      <c r="CF36" s="606"/>
      <c r="CG36" s="606"/>
      <c r="CH36" s="606"/>
      <c r="CI36" s="606"/>
      <c r="CJ36" s="606"/>
      <c r="CK36" s="606"/>
      <c r="CL36" s="606"/>
      <c r="CM36" s="606"/>
      <c r="CN36" s="606"/>
      <c r="CO36" s="606"/>
      <c r="CP36" s="606"/>
      <c r="CQ36" s="606"/>
      <c r="CR36" s="606"/>
      <c r="CS36" s="606"/>
      <c r="CT36" s="606"/>
      <c r="CU36" s="606"/>
      <c r="CV36" s="606"/>
      <c r="CW36" s="606"/>
      <c r="CX36" s="606"/>
      <c r="CY36" s="606"/>
      <c r="CZ36" s="606"/>
      <c r="DA36" s="606"/>
      <c r="DB36" s="606"/>
      <c r="DC36" s="606"/>
      <c r="DD36" s="606"/>
      <c r="DE36" s="606"/>
      <c r="DF36" s="606"/>
      <c r="DG36" s="606"/>
      <c r="DH36" s="606"/>
      <c r="DI36" s="606"/>
      <c r="DJ36" s="606"/>
      <c r="DK36" s="606"/>
      <c r="DL36" s="606"/>
      <c r="DM36" s="606"/>
      <c r="DN36" s="606"/>
      <c r="DO36" s="606"/>
      <c r="DP36" s="606"/>
      <c r="DQ36" s="606"/>
      <c r="DR36" s="606"/>
      <c r="DS36" s="606"/>
      <c r="DT36" s="606"/>
      <c r="DU36" s="606"/>
      <c r="DV36" s="606"/>
      <c r="DW36" s="606"/>
      <c r="DX36" s="606"/>
      <c r="DY36" s="606"/>
      <c r="DZ36" s="606"/>
    </row>
    <row r="37" spans="1:130" ht="15.75" customHeight="1" thickBot="1" x14ac:dyDescent="0.3">
      <c r="A37" s="29"/>
      <c r="B37" s="15"/>
      <c r="C37" s="510"/>
      <c r="D37" s="709"/>
      <c r="E37" s="402"/>
      <c r="F37" s="638"/>
      <c r="G37" s="638"/>
      <c r="H37" s="638"/>
      <c r="I37" s="27"/>
      <c r="J37" s="28"/>
      <c r="K37" s="651"/>
      <c r="L37" s="402"/>
      <c r="M37" s="26"/>
      <c r="N37" s="370" t="s">
        <v>24</v>
      </c>
      <c r="O37" s="370"/>
      <c r="P37" s="378"/>
      <c r="Q37" s="370"/>
      <c r="R37" s="378"/>
      <c r="S37" s="362"/>
      <c r="T37" s="379"/>
      <c r="U37" s="819"/>
      <c r="V37" s="315"/>
      <c r="W37" s="1"/>
      <c r="X37" s="471"/>
      <c r="Y37" s="471"/>
      <c r="Z37" s="471"/>
      <c r="AA37" s="471"/>
      <c r="AB37" s="471"/>
      <c r="AC37" s="471"/>
      <c r="AD37" s="471"/>
      <c r="AE37" s="471"/>
      <c r="AF37" s="471"/>
      <c r="AG37" s="471"/>
      <c r="AH37" s="471"/>
      <c r="AI37" s="471"/>
      <c r="AJ37" s="471"/>
      <c r="AK37" s="471"/>
      <c r="AL37" s="471"/>
      <c r="AM37" s="471"/>
      <c r="AN37" s="471"/>
      <c r="AO37" s="471"/>
      <c r="AP37" s="471"/>
      <c r="AQ37" s="471"/>
      <c r="AR37" s="471"/>
      <c r="AS37" s="471"/>
      <c r="AT37" s="471"/>
      <c r="AU37" s="471"/>
      <c r="AV37" s="471"/>
      <c r="AW37" s="471"/>
      <c r="AX37" s="471"/>
      <c r="AY37" s="471"/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798"/>
      <c r="BL37" s="881"/>
      <c r="BM37" s="881"/>
      <c r="BN37" s="882"/>
      <c r="BO37" s="883">
        <v>5</v>
      </c>
      <c r="BP37" s="881"/>
      <c r="BQ37" s="881"/>
      <c r="BR37" s="884"/>
      <c r="BS37" s="884"/>
      <c r="BT37" s="884"/>
      <c r="BU37" s="884"/>
      <c r="BV37" s="881"/>
      <c r="BW37" s="881"/>
      <c r="BX37" s="844"/>
      <c r="BY37" s="845"/>
      <c r="BZ37" s="845"/>
      <c r="CA37" s="846"/>
      <c r="CB37" s="865"/>
      <c r="CC37" s="955"/>
      <c r="CD37" s="865"/>
      <c r="CE37" s="606"/>
      <c r="CF37" s="606"/>
      <c r="CG37" s="606"/>
      <c r="CH37" s="606"/>
      <c r="CI37" s="606"/>
      <c r="CJ37" s="606"/>
      <c r="CK37" s="606"/>
      <c r="CL37" s="606"/>
      <c r="CM37" s="606"/>
      <c r="CN37" s="606"/>
      <c r="CO37" s="606"/>
      <c r="CP37" s="606"/>
      <c r="CQ37" s="606"/>
      <c r="CR37" s="606"/>
      <c r="CS37" s="606"/>
      <c r="CT37" s="606"/>
      <c r="CU37" s="606"/>
      <c r="CV37" s="606"/>
      <c r="CW37" s="606"/>
      <c r="CX37" s="606"/>
      <c r="CY37" s="606"/>
      <c r="CZ37" s="606"/>
      <c r="DA37" s="606"/>
      <c r="DB37" s="606"/>
      <c r="DC37" s="606"/>
      <c r="DD37" s="606"/>
      <c r="DE37" s="606"/>
      <c r="DF37" s="606"/>
      <c r="DG37" s="606"/>
      <c r="DH37" s="606"/>
      <c r="DI37" s="606"/>
      <c r="DJ37" s="606"/>
      <c r="DK37" s="606"/>
      <c r="DL37" s="606"/>
      <c r="DM37" s="606"/>
      <c r="DN37" s="606"/>
      <c r="DO37" s="606"/>
      <c r="DP37" s="606"/>
      <c r="DQ37" s="606"/>
      <c r="DR37" s="606"/>
      <c r="DS37" s="606"/>
      <c r="DT37" s="606"/>
      <c r="DU37" s="606"/>
      <c r="DV37" s="606"/>
      <c r="DW37" s="606"/>
      <c r="DX37" s="606"/>
      <c r="DY37" s="606"/>
      <c r="DZ37" s="606"/>
    </row>
    <row r="38" spans="1:130" ht="15.75" customHeight="1" thickBot="1" x14ac:dyDescent="0.3">
      <c r="A38" s="29"/>
      <c r="B38" s="15"/>
      <c r="C38" s="677" t="s">
        <v>228</v>
      </c>
      <c r="D38" s="508" t="s">
        <v>229</v>
      </c>
      <c r="E38" s="56"/>
      <c r="F38" s="638"/>
      <c r="G38" s="638"/>
      <c r="H38" s="718"/>
      <c r="I38" s="27"/>
      <c r="J38" s="28"/>
      <c r="K38" s="651"/>
      <c r="L38" s="402"/>
      <c r="M38" s="26"/>
      <c r="N38" s="396" t="s">
        <v>335</v>
      </c>
      <c r="O38" s="396"/>
      <c r="P38" s="423"/>
      <c r="Q38" s="397"/>
      <c r="R38" s="333"/>
      <c r="S38" s="377" t="s">
        <v>21</v>
      </c>
      <c r="T38" s="23" t="str">
        <f>IF(BX30&lt;&gt;0,BX30,BY30)</f>
        <v>pessoas</v>
      </c>
      <c r="U38" s="517">
        <v>15</v>
      </c>
      <c r="V38" s="315"/>
      <c r="W38" s="6"/>
      <c r="X38" s="474"/>
      <c r="Y38" s="474"/>
      <c r="Z38" s="474"/>
      <c r="AA38" s="474"/>
      <c r="AB38" s="474"/>
      <c r="AC38" s="474"/>
      <c r="AD38" s="474"/>
      <c r="AE38" s="474"/>
      <c r="AF38" s="474"/>
      <c r="AG38" s="474"/>
      <c r="AH38" s="474"/>
      <c r="AI38" s="474"/>
      <c r="AJ38" s="474"/>
      <c r="AK38" s="474"/>
      <c r="AL38" s="474"/>
      <c r="AM38" s="474"/>
      <c r="AN38" s="474"/>
      <c r="AO38" s="474"/>
      <c r="AP38" s="474"/>
      <c r="AQ38" s="474"/>
      <c r="AR38" s="474"/>
      <c r="AS38" s="474"/>
      <c r="AT38" s="474"/>
      <c r="AU38" s="474"/>
      <c r="AV38" s="474"/>
      <c r="AW38" s="474"/>
      <c r="AX38" s="474"/>
      <c r="AY38" s="474"/>
      <c r="AZ38" s="474"/>
      <c r="BA38" s="474"/>
      <c r="BB38" s="474"/>
      <c r="BC38" s="474"/>
      <c r="BD38" s="474"/>
      <c r="BE38" s="474"/>
      <c r="BF38" s="474"/>
      <c r="BG38" s="474"/>
      <c r="BH38" s="474"/>
      <c r="BI38" s="474"/>
      <c r="BJ38" s="474"/>
      <c r="BK38" s="798"/>
      <c r="BL38" s="881"/>
      <c r="BM38" s="881"/>
      <c r="BN38" s="884"/>
      <c r="BO38" s="948"/>
      <c r="BP38" s="956"/>
      <c r="BQ38" s="956"/>
      <c r="BR38" s="957"/>
      <c r="BS38" s="958"/>
      <c r="BT38" s="958"/>
      <c r="BU38" s="958"/>
      <c r="BV38" s="956"/>
      <c r="BW38" s="956"/>
      <c r="BX38" s="948"/>
      <c r="BY38" s="948"/>
      <c r="BZ38" s="948"/>
      <c r="CA38" s="948"/>
      <c r="CB38" s="953"/>
      <c r="CC38" s="955"/>
      <c r="CD38" s="865"/>
      <c r="CE38" s="606"/>
      <c r="CF38" s="606"/>
      <c r="CG38" s="606"/>
      <c r="CH38" s="606"/>
      <c r="CI38" s="606"/>
      <c r="CJ38" s="606"/>
      <c r="CK38" s="606"/>
      <c r="CL38" s="606"/>
      <c r="CM38" s="606"/>
      <c r="CN38" s="606"/>
      <c r="CO38" s="606"/>
      <c r="CP38" s="606"/>
      <c r="CQ38" s="606"/>
      <c r="CR38" s="606"/>
      <c r="CS38" s="606"/>
      <c r="CT38" s="606"/>
      <c r="CU38" s="606"/>
      <c r="CV38" s="606"/>
      <c r="CW38" s="606"/>
      <c r="CX38" s="606"/>
      <c r="CY38" s="606"/>
      <c r="CZ38" s="606"/>
      <c r="DA38" s="606"/>
      <c r="DB38" s="606"/>
      <c r="DC38" s="606"/>
      <c r="DD38" s="606"/>
      <c r="DE38" s="606"/>
      <c r="DF38" s="606"/>
      <c r="DG38" s="606"/>
      <c r="DH38" s="606"/>
      <c r="DI38" s="606"/>
      <c r="DJ38" s="606"/>
      <c r="DK38" s="606"/>
      <c r="DL38" s="606"/>
      <c r="DM38" s="606"/>
      <c r="DN38" s="606"/>
      <c r="DO38" s="606"/>
      <c r="DP38" s="606"/>
      <c r="DQ38" s="606"/>
      <c r="DR38" s="606"/>
      <c r="DS38" s="606"/>
      <c r="DT38" s="606"/>
      <c r="DU38" s="606"/>
      <c r="DV38" s="606"/>
      <c r="DW38" s="606"/>
      <c r="DX38" s="606"/>
      <c r="DY38" s="606"/>
      <c r="DZ38" s="606"/>
    </row>
    <row r="39" spans="1:130" ht="15.75" customHeight="1" x14ac:dyDescent="0.25">
      <c r="A39" s="6"/>
      <c r="B39" s="15"/>
      <c r="C39" s="678" t="s">
        <v>224</v>
      </c>
      <c r="D39" s="709" t="str">
        <f t="shared" ref="D39:D40" si="2">BO17</f>
        <v>Fábrica em geral</v>
      </c>
      <c r="E39" s="402"/>
      <c r="F39" s="638" t="s">
        <v>186</v>
      </c>
      <c r="G39" s="638">
        <v>70</v>
      </c>
      <c r="H39" s="638">
        <v>0.3</v>
      </c>
      <c r="I39" s="27"/>
      <c r="J39" s="28"/>
      <c r="K39" s="651"/>
      <c r="L39" s="402"/>
      <c r="M39" s="26"/>
      <c r="N39" s="363" t="s">
        <v>322</v>
      </c>
      <c r="O39" s="363"/>
      <c r="P39" s="423"/>
      <c r="Q39" s="361"/>
      <c r="R39" s="56"/>
      <c r="S39" s="362"/>
      <c r="T39" s="25"/>
      <c r="U39" s="380"/>
      <c r="V39" s="315"/>
      <c r="W39" s="6"/>
      <c r="X39" s="471"/>
      <c r="Y39" s="471"/>
      <c r="Z39" s="471"/>
      <c r="AA39" s="471"/>
      <c r="AB39" s="471"/>
      <c r="AC39" s="471"/>
      <c r="AD39" s="471"/>
      <c r="AE39" s="471"/>
      <c r="AF39" s="471"/>
      <c r="AG39" s="471"/>
      <c r="AH39" s="471"/>
      <c r="AI39" s="471"/>
      <c r="AJ39" s="471"/>
      <c r="AK39" s="471"/>
      <c r="AL39" s="471"/>
      <c r="AM39" s="471"/>
      <c r="AN39" s="471"/>
      <c r="AO39" s="471"/>
      <c r="AP39" s="471"/>
      <c r="AQ39" s="471"/>
      <c r="AR39" s="471"/>
      <c r="AS39" s="471"/>
      <c r="AT39" s="471"/>
      <c r="AU39" s="471"/>
      <c r="AV39" s="471"/>
      <c r="AW39" s="471"/>
      <c r="AX39" s="471"/>
      <c r="AY39" s="471"/>
      <c r="AZ39" s="471"/>
      <c r="BA39" s="471"/>
      <c r="BB39" s="471"/>
      <c r="BC39" s="471"/>
      <c r="BD39" s="471"/>
      <c r="BE39" s="471"/>
      <c r="BF39" s="471"/>
      <c r="BG39" s="471"/>
      <c r="BH39" s="471"/>
      <c r="BI39" s="471"/>
      <c r="BJ39" s="471"/>
      <c r="BK39" s="798"/>
      <c r="BL39" s="880"/>
      <c r="BM39" s="880"/>
      <c r="BN39" s="881"/>
      <c r="BO39" s="948"/>
      <c r="BP39" s="956"/>
      <c r="BQ39" s="956"/>
      <c r="BR39" s="957"/>
      <c r="BS39" s="958"/>
      <c r="BT39" s="958"/>
      <c r="BU39" s="958"/>
      <c r="BV39" s="959"/>
      <c r="BW39" s="959"/>
      <c r="BX39" s="948"/>
      <c r="BY39" s="948"/>
      <c r="BZ39" s="948"/>
      <c r="CA39" s="948"/>
      <c r="CB39" s="953"/>
      <c r="CC39" s="955"/>
      <c r="CD39" s="865"/>
      <c r="CE39" s="606"/>
      <c r="CF39" s="606"/>
      <c r="CG39" s="606"/>
      <c r="CH39" s="606"/>
      <c r="CI39" s="606"/>
      <c r="CJ39" s="606"/>
      <c r="CK39" s="606"/>
      <c r="CL39" s="606"/>
      <c r="CM39" s="606"/>
      <c r="CN39" s="606"/>
      <c r="CO39" s="606"/>
      <c r="CP39" s="606"/>
      <c r="CQ39" s="606"/>
      <c r="CR39" s="606"/>
      <c r="CS39" s="606"/>
      <c r="CT39" s="606"/>
      <c r="CU39" s="606"/>
      <c r="CV39" s="606"/>
      <c r="CW39" s="606"/>
      <c r="CX39" s="606"/>
      <c r="CY39" s="606"/>
      <c r="CZ39" s="606"/>
      <c r="DA39" s="606"/>
      <c r="DB39" s="606"/>
      <c r="DC39" s="606"/>
      <c r="DD39" s="606"/>
      <c r="DE39" s="606"/>
      <c r="DF39" s="606"/>
      <c r="DG39" s="606"/>
      <c r="DH39" s="606"/>
      <c r="DI39" s="606"/>
      <c r="DJ39" s="606"/>
      <c r="DK39" s="606"/>
      <c r="DL39" s="606"/>
      <c r="DM39" s="606"/>
      <c r="DN39" s="606"/>
      <c r="DO39" s="606"/>
      <c r="DP39" s="606"/>
      <c r="DQ39" s="606"/>
      <c r="DR39" s="606"/>
      <c r="DS39" s="606"/>
      <c r="DT39" s="606"/>
      <c r="DU39" s="606"/>
      <c r="DV39" s="606"/>
      <c r="DW39" s="606"/>
      <c r="DX39" s="606"/>
      <c r="DY39" s="606"/>
      <c r="DZ39" s="606"/>
    </row>
    <row r="40" spans="1:130" ht="15.75" customHeight="1" x14ac:dyDescent="0.25">
      <c r="A40" s="6"/>
      <c r="B40" s="15"/>
      <c r="C40" s="678" t="s">
        <v>224</v>
      </c>
      <c r="D40" s="709" t="str">
        <f t="shared" si="2"/>
        <v>Escritório</v>
      </c>
      <c r="E40" s="402"/>
      <c r="F40" s="638" t="s">
        <v>186</v>
      </c>
      <c r="G40" s="638">
        <v>50</v>
      </c>
      <c r="H40" s="638">
        <v>0.2</v>
      </c>
      <c r="I40" s="27"/>
      <c r="J40" s="28"/>
      <c r="K40" s="651"/>
      <c r="L40" s="402"/>
      <c r="M40" s="26"/>
      <c r="N40" s="370"/>
      <c r="O40" s="363"/>
      <c r="P40" s="423"/>
      <c r="Q40" s="361"/>
      <c r="R40" s="56"/>
      <c r="S40" s="362"/>
      <c r="T40" s="25"/>
      <c r="U40" s="380"/>
      <c r="V40" s="315"/>
      <c r="W40" s="6"/>
      <c r="X40" s="471"/>
      <c r="Y40" s="471"/>
      <c r="Z40" s="471"/>
      <c r="AA40" s="471"/>
      <c r="AB40" s="471"/>
      <c r="AC40" s="471"/>
      <c r="AD40" s="471"/>
      <c r="AE40" s="471"/>
      <c r="AF40" s="471"/>
      <c r="AG40" s="471"/>
      <c r="AH40" s="471"/>
      <c r="AI40" s="471"/>
      <c r="AJ40" s="471"/>
      <c r="AK40" s="471"/>
      <c r="AL40" s="471"/>
      <c r="AM40" s="471"/>
      <c r="AN40" s="471"/>
      <c r="AO40" s="471"/>
      <c r="AP40" s="471"/>
      <c r="AQ40" s="471"/>
      <c r="AR40" s="471"/>
      <c r="AS40" s="471"/>
      <c r="AT40" s="471"/>
      <c r="AU40" s="471"/>
      <c r="AV40" s="471"/>
      <c r="AW40" s="471"/>
      <c r="AX40" s="471"/>
      <c r="AY40" s="471"/>
      <c r="AZ40" s="471"/>
      <c r="BA40" s="471"/>
      <c r="BB40" s="471"/>
      <c r="BC40" s="471"/>
      <c r="BD40" s="471"/>
      <c r="BE40" s="471"/>
      <c r="BF40" s="471"/>
      <c r="BG40" s="471"/>
      <c r="BH40" s="471"/>
      <c r="BI40" s="471"/>
      <c r="BJ40" s="471"/>
      <c r="BK40" s="798"/>
      <c r="BL40" s="880"/>
      <c r="BM40" s="880"/>
      <c r="BN40" s="880"/>
      <c r="BO40" s="952" t="s">
        <v>347</v>
      </c>
      <c r="BP40" s="956"/>
      <c r="BQ40" s="956"/>
      <c r="BR40" s="957"/>
      <c r="BS40" s="958"/>
      <c r="BT40" s="958"/>
      <c r="BU40" s="958"/>
      <c r="BV40" s="959"/>
      <c r="BW40" s="959"/>
      <c r="BX40" s="948"/>
      <c r="BY40" s="948"/>
      <c r="BZ40" s="948"/>
      <c r="CA40" s="948"/>
      <c r="CB40" s="960"/>
      <c r="CC40" s="954"/>
      <c r="CD40" s="865"/>
      <c r="CE40" s="606"/>
      <c r="CF40" s="606"/>
      <c r="CG40" s="606"/>
      <c r="CH40" s="606"/>
      <c r="CI40" s="606"/>
      <c r="CJ40" s="606"/>
      <c r="CK40" s="606"/>
      <c r="CL40" s="606"/>
      <c r="CM40" s="606"/>
      <c r="CN40" s="606"/>
      <c r="CO40" s="606"/>
      <c r="CP40" s="606"/>
      <c r="CQ40" s="606"/>
      <c r="CR40" s="606"/>
      <c r="CS40" s="606"/>
      <c r="CT40" s="606"/>
      <c r="CU40" s="606"/>
      <c r="CV40" s="606"/>
      <c r="CW40" s="606"/>
      <c r="CX40" s="606"/>
      <c r="CY40" s="606"/>
      <c r="CZ40" s="606"/>
      <c r="DA40" s="606"/>
      <c r="DB40" s="606"/>
      <c r="DC40" s="606"/>
      <c r="DD40" s="606"/>
      <c r="DE40" s="606"/>
      <c r="DF40" s="606"/>
      <c r="DG40" s="606"/>
      <c r="DH40" s="606"/>
      <c r="DI40" s="606"/>
      <c r="DJ40" s="606"/>
      <c r="DK40" s="606"/>
      <c r="DL40" s="606"/>
      <c r="DM40" s="606"/>
      <c r="DN40" s="606"/>
      <c r="DO40" s="606"/>
      <c r="DP40" s="606"/>
      <c r="DQ40" s="606"/>
      <c r="DR40" s="606"/>
      <c r="DS40" s="606"/>
      <c r="DT40" s="606"/>
      <c r="DU40" s="606"/>
      <c r="DV40" s="606"/>
      <c r="DW40" s="606"/>
      <c r="DX40" s="606"/>
      <c r="DY40" s="606"/>
      <c r="DZ40" s="606"/>
    </row>
    <row r="41" spans="1:130" ht="15.75" customHeight="1" thickBot="1" x14ac:dyDescent="0.3">
      <c r="A41" s="6"/>
      <c r="B41" s="15"/>
      <c r="C41" s="678" t="s">
        <v>224</v>
      </c>
      <c r="D41" s="709" t="str">
        <f t="shared" ref="D41:D44" si="3">BO19</f>
        <v>Edifício público ou comercial</v>
      </c>
      <c r="E41" s="402"/>
      <c r="F41" s="638" t="s">
        <v>186</v>
      </c>
      <c r="G41" s="638">
        <v>50</v>
      </c>
      <c r="H41" s="638">
        <v>0.2</v>
      </c>
      <c r="I41" s="27"/>
      <c r="J41" s="28"/>
      <c r="K41" s="651"/>
      <c r="L41" s="402"/>
      <c r="M41" s="26"/>
      <c r="N41" s="374"/>
      <c r="O41" s="374"/>
      <c r="P41" s="56"/>
      <c r="Q41" s="56"/>
      <c r="R41" s="56"/>
      <c r="S41" s="26"/>
      <c r="T41" s="56"/>
      <c r="U41" s="371"/>
      <c r="V41" s="315"/>
      <c r="W41" s="6"/>
      <c r="X41" s="471"/>
      <c r="Y41" s="471"/>
      <c r="Z41" s="471"/>
      <c r="AA41" s="471"/>
      <c r="AB41" s="471"/>
      <c r="AC41" s="471"/>
      <c r="AD41" s="471"/>
      <c r="AE41" s="471"/>
      <c r="AF41" s="471"/>
      <c r="AG41" s="471"/>
      <c r="AH41" s="471"/>
      <c r="AI41" s="471"/>
      <c r="AJ41" s="471"/>
      <c r="AK41" s="471"/>
      <c r="AL41" s="471"/>
      <c r="AM41" s="471"/>
      <c r="AN41" s="471"/>
      <c r="AO41" s="471"/>
      <c r="AP41" s="471"/>
      <c r="AQ41" s="471"/>
      <c r="AR41" s="471"/>
      <c r="AS41" s="471"/>
      <c r="AT41" s="471"/>
      <c r="AU41" s="471"/>
      <c r="AV41" s="471"/>
      <c r="AW41" s="471"/>
      <c r="AX41" s="471"/>
      <c r="AY41" s="471"/>
      <c r="AZ41" s="471"/>
      <c r="BA41" s="471"/>
      <c r="BB41" s="471"/>
      <c r="BC41" s="471"/>
      <c r="BD41" s="471"/>
      <c r="BE41" s="471"/>
      <c r="BF41" s="471"/>
      <c r="BG41" s="471"/>
      <c r="BH41" s="471"/>
      <c r="BI41" s="471"/>
      <c r="BJ41" s="471"/>
      <c r="BK41" s="798"/>
      <c r="BL41" s="881"/>
      <c r="BM41" s="881"/>
      <c r="BN41" s="882"/>
      <c r="BO41" s="821"/>
      <c r="BP41" s="881"/>
      <c r="BQ41" s="881"/>
      <c r="BR41" s="884"/>
      <c r="BS41" s="882"/>
      <c r="BT41" s="882"/>
      <c r="BU41" s="882"/>
      <c r="BV41" s="881"/>
      <c r="BW41" s="881"/>
      <c r="BX41" s="821"/>
      <c r="BY41" s="821"/>
      <c r="BZ41" s="821"/>
      <c r="CA41" s="821"/>
      <c r="CB41" s="826"/>
      <c r="CC41" s="876"/>
      <c r="CD41" s="865"/>
      <c r="CE41" s="606"/>
      <c r="CF41" s="606"/>
      <c r="CG41" s="606"/>
      <c r="CH41" s="606"/>
      <c r="CI41" s="606"/>
      <c r="CJ41" s="606"/>
      <c r="CK41" s="606"/>
      <c r="CL41" s="606"/>
      <c r="CM41" s="606"/>
      <c r="CN41" s="606"/>
      <c r="CO41" s="606"/>
      <c r="CP41" s="606"/>
      <c r="CQ41" s="606"/>
      <c r="CR41" s="606"/>
      <c r="CS41" s="606"/>
      <c r="CT41" s="606"/>
      <c r="CU41" s="606"/>
      <c r="CV41" s="606"/>
      <c r="CW41" s="606"/>
      <c r="CX41" s="606"/>
      <c r="CY41" s="606"/>
      <c r="CZ41" s="606"/>
      <c r="DA41" s="606"/>
      <c r="DB41" s="606"/>
      <c r="DC41" s="606"/>
      <c r="DD41" s="606"/>
      <c r="DE41" s="606"/>
      <c r="DF41" s="606"/>
      <c r="DG41" s="606"/>
      <c r="DH41" s="606"/>
      <c r="DI41" s="606"/>
      <c r="DJ41" s="606"/>
      <c r="DK41" s="606"/>
      <c r="DL41" s="606"/>
      <c r="DM41" s="606"/>
      <c r="DN41" s="606"/>
      <c r="DO41" s="606"/>
      <c r="DP41" s="606"/>
      <c r="DQ41" s="606"/>
      <c r="DR41" s="606"/>
      <c r="DS41" s="606"/>
      <c r="DT41" s="606"/>
      <c r="DU41" s="606"/>
      <c r="DV41" s="606"/>
      <c r="DW41" s="606"/>
      <c r="DX41" s="606"/>
      <c r="DY41" s="606"/>
      <c r="DZ41" s="606"/>
    </row>
    <row r="42" spans="1:130" ht="15.75" customHeight="1" thickBot="1" x14ac:dyDescent="0.3">
      <c r="A42" s="6"/>
      <c r="B42" s="15"/>
      <c r="C42" s="678" t="s">
        <v>224</v>
      </c>
      <c r="D42" s="709" t="str">
        <f t="shared" si="3"/>
        <v>Escola de meio período</v>
      </c>
      <c r="E42" s="402"/>
      <c r="F42" s="638" t="s">
        <v>186</v>
      </c>
      <c r="G42" s="638">
        <v>50</v>
      </c>
      <c r="H42" s="638">
        <v>0.2</v>
      </c>
      <c r="I42" s="27"/>
      <c r="J42" s="28"/>
      <c r="K42" s="651"/>
      <c r="L42" s="402"/>
      <c r="M42" s="26" t="s">
        <v>29</v>
      </c>
      <c r="N42" s="599" t="s">
        <v>30</v>
      </c>
      <c r="O42" s="599"/>
      <c r="P42" s="26"/>
      <c r="Q42" s="26"/>
      <c r="R42" s="26"/>
      <c r="S42" s="377" t="s">
        <v>13</v>
      </c>
      <c r="T42" s="594" t="s">
        <v>31</v>
      </c>
      <c r="U42" s="359">
        <f>U27*U36</f>
        <v>800</v>
      </c>
      <c r="V42" s="315"/>
      <c r="W42" s="6"/>
      <c r="X42" s="474"/>
      <c r="Y42" s="474"/>
      <c r="Z42" s="474"/>
      <c r="AA42" s="474"/>
      <c r="AB42" s="474"/>
      <c r="AC42" s="474"/>
      <c r="AD42" s="474"/>
      <c r="AE42" s="474"/>
      <c r="AF42" s="474"/>
      <c r="AG42" s="474"/>
      <c r="AH42" s="474"/>
      <c r="AI42" s="474"/>
      <c r="AJ42" s="474"/>
      <c r="AK42" s="474"/>
      <c r="AL42" s="474"/>
      <c r="AM42" s="474"/>
      <c r="AN42" s="474"/>
      <c r="AO42" s="474"/>
      <c r="AP42" s="474"/>
      <c r="AQ42" s="474"/>
      <c r="AR42" s="474"/>
      <c r="AS42" s="474"/>
      <c r="AT42" s="474"/>
      <c r="AU42" s="474"/>
      <c r="AV42" s="474"/>
      <c r="AW42" s="474"/>
      <c r="AX42" s="474"/>
      <c r="AY42" s="474"/>
      <c r="AZ42" s="474"/>
      <c r="BA42" s="474"/>
      <c r="BB42" s="474"/>
      <c r="BC42" s="474"/>
      <c r="BD42" s="474"/>
      <c r="BE42" s="474"/>
      <c r="BF42" s="474"/>
      <c r="BG42" s="474"/>
      <c r="BH42" s="474"/>
      <c r="BI42" s="474"/>
      <c r="BJ42" s="474"/>
      <c r="BK42" s="798"/>
      <c r="BL42" s="881"/>
      <c r="BM42" s="881"/>
      <c r="BN42" s="884"/>
      <c r="BO42" s="821"/>
      <c r="BP42" s="885"/>
      <c r="BQ42" s="885"/>
      <c r="BR42" s="884"/>
      <c r="BS42" s="884"/>
      <c r="BT42" s="884"/>
      <c r="BU42" s="884"/>
      <c r="BV42" s="881"/>
      <c r="BW42" s="881"/>
      <c r="BX42" s="821"/>
      <c r="BY42" s="821"/>
      <c r="BZ42" s="821"/>
      <c r="CA42" s="821"/>
      <c r="CB42" s="826"/>
      <c r="CC42" s="877"/>
      <c r="CD42" s="865"/>
      <c r="CE42" s="606"/>
      <c r="CF42" s="606"/>
      <c r="CG42" s="606"/>
      <c r="CH42" s="606"/>
      <c r="CI42" s="606"/>
      <c r="CJ42" s="606"/>
      <c r="CK42" s="606"/>
      <c r="CL42" s="606"/>
      <c r="CM42" s="606"/>
      <c r="CN42" s="606"/>
      <c r="CO42" s="606"/>
      <c r="CP42" s="606"/>
      <c r="CQ42" s="606"/>
      <c r="CR42" s="606"/>
      <c r="CS42" s="606"/>
      <c r="CT42" s="606"/>
      <c r="CU42" s="606"/>
      <c r="CV42" s="606"/>
      <c r="CW42" s="606"/>
      <c r="CX42" s="606"/>
      <c r="CY42" s="606"/>
      <c r="CZ42" s="606"/>
      <c r="DA42" s="606"/>
      <c r="DB42" s="606"/>
      <c r="DC42" s="606"/>
      <c r="DD42" s="606"/>
      <c r="DE42" s="606"/>
      <c r="DF42" s="606"/>
      <c r="DG42" s="606"/>
      <c r="DH42" s="606"/>
      <c r="DI42" s="606"/>
      <c r="DJ42" s="606"/>
      <c r="DK42" s="606"/>
      <c r="DL42" s="606"/>
      <c r="DM42" s="606"/>
      <c r="DN42" s="606"/>
      <c r="DO42" s="606"/>
      <c r="DP42" s="606"/>
      <c r="DQ42" s="606"/>
      <c r="DR42" s="606"/>
      <c r="DS42" s="606"/>
      <c r="DT42" s="606"/>
      <c r="DU42" s="606"/>
      <c r="DV42" s="606"/>
      <c r="DW42" s="606"/>
      <c r="DX42" s="606"/>
      <c r="DY42" s="606"/>
      <c r="DZ42" s="606"/>
    </row>
    <row r="43" spans="1:130" ht="15.75" customHeight="1" thickBot="1" x14ac:dyDescent="0.3">
      <c r="A43" s="6"/>
      <c r="B43" s="15"/>
      <c r="C43" s="678" t="s">
        <v>224</v>
      </c>
      <c r="D43" s="709" t="str">
        <f t="shared" si="3"/>
        <v>Escola de período integral</v>
      </c>
      <c r="E43" s="402"/>
      <c r="F43" s="638" t="s">
        <v>186</v>
      </c>
      <c r="G43" s="638">
        <v>100</v>
      </c>
      <c r="H43" s="638">
        <v>0.3</v>
      </c>
      <c r="I43" s="27"/>
      <c r="J43" s="28"/>
      <c r="K43" s="651"/>
      <c r="L43" s="402"/>
      <c r="M43" s="26"/>
      <c r="N43" s="370" t="s">
        <v>33</v>
      </c>
      <c r="O43" s="599"/>
      <c r="P43" s="26"/>
      <c r="Q43" s="26"/>
      <c r="R43" s="26"/>
      <c r="S43" s="377"/>
      <c r="T43" s="56"/>
      <c r="U43" s="421"/>
      <c r="V43" s="315"/>
      <c r="W43" s="30"/>
      <c r="X43" s="471"/>
      <c r="Y43" s="471"/>
      <c r="Z43" s="471"/>
      <c r="AA43" s="471"/>
      <c r="AB43" s="471"/>
      <c r="AC43" s="471"/>
      <c r="AD43" s="471"/>
      <c r="AE43" s="471"/>
      <c r="AF43" s="471"/>
      <c r="AG43" s="471"/>
      <c r="AH43" s="471"/>
      <c r="AI43" s="471"/>
      <c r="AJ43" s="471"/>
      <c r="AK43" s="471"/>
      <c r="AL43" s="471"/>
      <c r="AM43" s="471"/>
      <c r="AN43" s="471"/>
      <c r="AO43" s="471"/>
      <c r="AP43" s="471"/>
      <c r="AQ43" s="471"/>
      <c r="AR43" s="471"/>
      <c r="AS43" s="471"/>
      <c r="AT43" s="471"/>
      <c r="AU43" s="471"/>
      <c r="AV43" s="471"/>
      <c r="AW43" s="471"/>
      <c r="AX43" s="471"/>
      <c r="AY43" s="471"/>
      <c r="AZ43" s="471"/>
      <c r="BA43" s="471"/>
      <c r="BB43" s="471"/>
      <c r="BC43" s="471"/>
      <c r="BD43" s="471"/>
      <c r="BE43" s="471"/>
      <c r="BF43" s="471"/>
      <c r="BG43" s="471"/>
      <c r="BH43" s="471"/>
      <c r="BI43" s="471"/>
      <c r="BJ43" s="471"/>
      <c r="BK43" s="798"/>
      <c r="BL43" s="880"/>
      <c r="BM43" s="880"/>
      <c r="BN43" s="884"/>
      <c r="BO43" s="821"/>
      <c r="BP43" s="881"/>
      <c r="BQ43" s="881"/>
      <c r="BR43" s="884"/>
      <c r="BS43" s="884"/>
      <c r="BT43" s="884"/>
      <c r="BU43" s="884"/>
      <c r="BV43" s="881"/>
      <c r="BW43" s="881"/>
      <c r="BX43" s="821"/>
      <c r="BY43" s="821"/>
      <c r="BZ43" s="821"/>
      <c r="CA43" s="821"/>
      <c r="CB43" s="865"/>
      <c r="CC43" s="877"/>
      <c r="CD43" s="865"/>
      <c r="CE43" s="606"/>
      <c r="CF43" s="606"/>
      <c r="CG43" s="606"/>
      <c r="CH43" s="606"/>
      <c r="CI43" s="606"/>
      <c r="CJ43" s="606"/>
      <c r="CK43" s="606"/>
      <c r="CL43" s="606"/>
      <c r="CM43" s="606"/>
      <c r="CN43" s="606"/>
      <c r="CO43" s="606"/>
      <c r="CP43" s="606"/>
      <c r="CQ43" s="606"/>
      <c r="CR43" s="606"/>
      <c r="CS43" s="606"/>
      <c r="CT43" s="606"/>
      <c r="CU43" s="606"/>
      <c r="CV43" s="606"/>
      <c r="CW43" s="606"/>
      <c r="CX43" s="606"/>
      <c r="CY43" s="606"/>
      <c r="CZ43" s="606"/>
      <c r="DA43" s="606"/>
      <c r="DB43" s="606"/>
      <c r="DC43" s="606"/>
      <c r="DD43" s="606"/>
      <c r="DE43" s="606"/>
      <c r="DF43" s="606"/>
      <c r="DG43" s="606"/>
      <c r="DH43" s="606"/>
      <c r="DI43" s="606"/>
      <c r="DJ43" s="606"/>
      <c r="DK43" s="606"/>
      <c r="DL43" s="606"/>
      <c r="DM43" s="606"/>
      <c r="DN43" s="606"/>
      <c r="DO43" s="606"/>
      <c r="DP43" s="606"/>
      <c r="DQ43" s="606"/>
      <c r="DR43" s="606"/>
      <c r="DS43" s="606"/>
      <c r="DT43" s="606"/>
      <c r="DU43" s="606"/>
      <c r="DV43" s="606"/>
      <c r="DW43" s="606"/>
      <c r="DX43" s="606"/>
      <c r="DY43" s="606"/>
      <c r="DZ43" s="606"/>
    </row>
    <row r="44" spans="1:130" ht="15.75" customHeight="1" thickBot="1" x14ac:dyDescent="0.3">
      <c r="A44" s="6"/>
      <c r="B44" s="15"/>
      <c r="C44" s="678" t="s">
        <v>224</v>
      </c>
      <c r="D44" s="709" t="str">
        <f t="shared" si="3"/>
        <v>Creche</v>
      </c>
      <c r="E44" s="402"/>
      <c r="F44" s="638" t="s">
        <v>186</v>
      </c>
      <c r="G44" s="638">
        <v>50</v>
      </c>
      <c r="H44" s="638">
        <v>0.2</v>
      </c>
      <c r="I44" s="27"/>
      <c r="J44" s="28"/>
      <c r="K44" s="651"/>
      <c r="L44" s="402"/>
      <c r="M44" s="26"/>
      <c r="N44" s="374"/>
      <c r="O44" s="374"/>
      <c r="P44" s="56"/>
      <c r="Q44" s="56"/>
      <c r="R44" s="56"/>
      <c r="S44" s="377" t="s">
        <v>21</v>
      </c>
      <c r="T44" s="594" t="s">
        <v>31</v>
      </c>
      <c r="U44" s="359">
        <f>U31*U38</f>
        <v>0</v>
      </c>
      <c r="V44" s="315"/>
      <c r="W44" s="6"/>
      <c r="X44" s="471"/>
      <c r="Y44" s="471"/>
      <c r="Z44" s="471"/>
      <c r="AA44" s="471"/>
      <c r="AB44" s="471"/>
      <c r="AC44" s="471"/>
      <c r="AD44" s="471"/>
      <c r="AE44" s="471"/>
      <c r="AF44" s="471"/>
      <c r="AG44" s="471"/>
      <c r="AH44" s="471"/>
      <c r="AI44" s="471"/>
      <c r="AJ44" s="471"/>
      <c r="AK44" s="471"/>
      <c r="AL44" s="471"/>
      <c r="AM44" s="471"/>
      <c r="AN44" s="471"/>
      <c r="AO44" s="471"/>
      <c r="AP44" s="471"/>
      <c r="AQ44" s="471"/>
      <c r="AR44" s="471"/>
      <c r="AS44" s="471"/>
      <c r="AT44" s="471"/>
      <c r="AU44" s="471"/>
      <c r="AV44" s="471"/>
      <c r="AW44" s="471"/>
      <c r="AX44" s="471"/>
      <c r="AY44" s="471"/>
      <c r="AZ44" s="471"/>
      <c r="BA44" s="471"/>
      <c r="BB44" s="471"/>
      <c r="BC44" s="471"/>
      <c r="BD44" s="471"/>
      <c r="BE44" s="471"/>
      <c r="BF44" s="471"/>
      <c r="BG44" s="471"/>
      <c r="BH44" s="471"/>
      <c r="BI44" s="471"/>
      <c r="BJ44" s="471"/>
      <c r="BK44" s="798"/>
      <c r="BL44" s="880"/>
      <c r="BM44" s="880"/>
      <c r="BN44" s="880"/>
      <c r="BO44" s="880"/>
      <c r="BP44" s="881"/>
      <c r="BQ44" s="881"/>
      <c r="BR44" s="884"/>
      <c r="BS44" s="884"/>
      <c r="BT44" s="884"/>
      <c r="BU44" s="884"/>
      <c r="BV44" s="881"/>
      <c r="BW44" s="881"/>
      <c r="BX44" s="821"/>
      <c r="BY44" s="821"/>
      <c r="BZ44" s="821"/>
      <c r="CA44" s="821"/>
      <c r="CB44" s="865"/>
      <c r="CC44" s="877"/>
      <c r="CD44" s="865"/>
      <c r="CE44" s="606"/>
      <c r="CF44" s="606"/>
      <c r="CG44" s="606"/>
      <c r="CH44" s="606"/>
      <c r="CI44" s="606"/>
      <c r="CJ44" s="606"/>
      <c r="CK44" s="606"/>
      <c r="CL44" s="606"/>
      <c r="CM44" s="606"/>
      <c r="CN44" s="606"/>
      <c r="CO44" s="606"/>
      <c r="CP44" s="606"/>
      <c r="CQ44" s="606"/>
      <c r="CR44" s="606"/>
      <c r="CS44" s="606"/>
      <c r="CT44" s="606"/>
      <c r="CU44" s="606"/>
      <c r="CV44" s="606"/>
      <c r="CW44" s="606"/>
      <c r="CX44" s="606"/>
      <c r="CY44" s="606"/>
      <c r="CZ44" s="606"/>
      <c r="DA44" s="606"/>
      <c r="DB44" s="606"/>
      <c r="DC44" s="606"/>
      <c r="DD44" s="606"/>
      <c r="DE44" s="606"/>
      <c r="DF44" s="606"/>
      <c r="DG44" s="606"/>
      <c r="DH44" s="606"/>
      <c r="DI44" s="606"/>
      <c r="DJ44" s="606"/>
      <c r="DK44" s="606"/>
      <c r="DL44" s="606"/>
      <c r="DM44" s="606"/>
      <c r="DN44" s="606"/>
      <c r="DO44" s="606"/>
      <c r="DP44" s="606"/>
      <c r="DQ44" s="606"/>
      <c r="DR44" s="606"/>
      <c r="DS44" s="606"/>
      <c r="DT44" s="606"/>
      <c r="DU44" s="606"/>
      <c r="DV44" s="606"/>
      <c r="DW44" s="606"/>
      <c r="DX44" s="606"/>
      <c r="DY44" s="606"/>
      <c r="DZ44" s="606"/>
    </row>
    <row r="45" spans="1:130" ht="15.75" customHeight="1" thickBot="1" x14ac:dyDescent="0.35">
      <c r="A45" s="6"/>
      <c r="B45" s="15"/>
      <c r="C45" s="678" t="s">
        <v>224</v>
      </c>
      <c r="D45" s="709" t="str">
        <f>BO23</f>
        <v>Bar</v>
      </c>
      <c r="E45" s="402"/>
      <c r="F45" s="638" t="s">
        <v>186</v>
      </c>
      <c r="G45" s="638">
        <v>6</v>
      </c>
      <c r="H45" s="638">
        <v>0.1</v>
      </c>
      <c r="I45" s="27"/>
      <c r="J45" s="28"/>
      <c r="K45" s="651"/>
      <c r="L45" s="402"/>
      <c r="M45" s="26"/>
      <c r="N45" s="667" t="str">
        <f>IF($U$46&gt;12000.001,"O sistema fossa séptica, filtro anaéróbio e sumidouro ou"," ")</f>
        <v xml:space="preserve"> </v>
      </c>
      <c r="O45" s="374"/>
      <c r="P45" s="56"/>
      <c r="Q45" s="56"/>
      <c r="R45" s="56"/>
      <c r="S45" s="377"/>
      <c r="T45" s="594"/>
      <c r="U45" s="360"/>
      <c r="V45" s="315"/>
      <c r="W45" s="6"/>
      <c r="X45" s="471"/>
      <c r="Y45" s="471"/>
      <c r="Z45" s="471"/>
      <c r="AA45" s="471"/>
      <c r="AB45" s="471"/>
      <c r="AC45" s="471"/>
      <c r="AD45" s="471"/>
      <c r="AE45" s="471"/>
      <c r="AF45" s="471"/>
      <c r="AG45" s="471"/>
      <c r="AH45" s="471"/>
      <c r="AI45" s="471"/>
      <c r="AJ45" s="471"/>
      <c r="AK45" s="471"/>
      <c r="AL45" s="471"/>
      <c r="AM45" s="471"/>
      <c r="AN45" s="471"/>
      <c r="AO45" s="471"/>
      <c r="AP45" s="471"/>
      <c r="AQ45" s="471"/>
      <c r="AR45" s="471"/>
      <c r="AS45" s="471"/>
      <c r="AT45" s="471"/>
      <c r="AU45" s="471"/>
      <c r="AV45" s="471"/>
      <c r="AW45" s="471"/>
      <c r="AX45" s="471"/>
      <c r="AY45" s="471"/>
      <c r="AZ45" s="471"/>
      <c r="BA45" s="471"/>
      <c r="BB45" s="471"/>
      <c r="BC45" s="471"/>
      <c r="BD45" s="471"/>
      <c r="BE45" s="471"/>
      <c r="BF45" s="471"/>
      <c r="BG45" s="471"/>
      <c r="BH45" s="471"/>
      <c r="BI45" s="471"/>
      <c r="BJ45" s="471"/>
      <c r="BK45" s="798"/>
      <c r="BL45" s="881"/>
      <c r="BM45" s="881"/>
      <c r="BN45" s="882"/>
      <c r="BO45" s="882"/>
      <c r="BP45" s="881"/>
      <c r="BQ45" s="881"/>
      <c r="BR45" s="884"/>
      <c r="BS45" s="882"/>
      <c r="BT45" s="882"/>
      <c r="BU45" s="882"/>
      <c r="BV45" s="881"/>
      <c r="BW45" s="881"/>
      <c r="BX45" s="821"/>
      <c r="BY45" s="821"/>
      <c r="BZ45" s="821"/>
      <c r="CA45" s="821"/>
      <c r="CB45" s="865"/>
      <c r="CC45" s="877"/>
      <c r="CD45" s="865"/>
      <c r="CE45" s="606"/>
      <c r="CF45" s="606"/>
      <c r="CG45" s="606"/>
      <c r="CH45" s="606"/>
      <c r="CI45" s="606"/>
      <c r="CJ45" s="606"/>
      <c r="CK45" s="606"/>
      <c r="CL45" s="606"/>
      <c r="CM45" s="606"/>
      <c r="CN45" s="606"/>
      <c r="CO45" s="606"/>
      <c r="CP45" s="606"/>
      <c r="CQ45" s="606"/>
      <c r="CR45" s="606"/>
      <c r="CS45" s="606"/>
      <c r="CT45" s="606"/>
      <c r="CU45" s="606"/>
      <c r="CV45" s="606"/>
      <c r="CW45" s="606"/>
      <c r="CX45" s="606"/>
      <c r="CY45" s="606"/>
      <c r="CZ45" s="606"/>
      <c r="DA45" s="606"/>
      <c r="DB45" s="606"/>
      <c r="DC45" s="606"/>
      <c r="DD45" s="606"/>
      <c r="DE45" s="606"/>
      <c r="DF45" s="606"/>
      <c r="DG45" s="606"/>
      <c r="DH45" s="606"/>
      <c r="DI45" s="606"/>
      <c r="DJ45" s="606"/>
      <c r="DK45" s="606"/>
      <c r="DL45" s="606"/>
      <c r="DM45" s="606"/>
      <c r="DN45" s="606"/>
      <c r="DO45" s="606"/>
      <c r="DP45" s="606"/>
      <c r="DQ45" s="606"/>
      <c r="DR45" s="606"/>
      <c r="DS45" s="606"/>
      <c r="DT45" s="606"/>
      <c r="DU45" s="606"/>
      <c r="DV45" s="606"/>
      <c r="DW45" s="606"/>
      <c r="DX45" s="606"/>
      <c r="DY45" s="606"/>
      <c r="DZ45" s="606"/>
    </row>
    <row r="46" spans="1:130" ht="15.75" customHeight="1" thickBot="1" x14ac:dyDescent="0.35">
      <c r="A46" s="6"/>
      <c r="B46" s="15"/>
      <c r="C46" s="678" t="s">
        <v>224</v>
      </c>
      <c r="D46" s="296" t="str">
        <f>BO24</f>
        <v>Restaurantes e similares</v>
      </c>
      <c r="E46" s="296"/>
      <c r="F46" s="638" t="s">
        <v>28</v>
      </c>
      <c r="G46" s="638">
        <v>25</v>
      </c>
      <c r="H46" s="638">
        <v>0.1</v>
      </c>
      <c r="I46" s="27"/>
      <c r="J46" s="28"/>
      <c r="K46" s="651"/>
      <c r="L46" s="402"/>
      <c r="M46" s="26"/>
      <c r="N46" s="667" t="str">
        <f>IF($U$46&gt;12000.001,"valas de infiltração não suporta vazão acima de 12000l/dia"," ")</f>
        <v xml:space="preserve"> </v>
      </c>
      <c r="O46" s="714"/>
      <c r="P46" s="387"/>
      <c r="Q46" s="387"/>
      <c r="R46" s="387"/>
      <c r="S46" s="377" t="s">
        <v>211</v>
      </c>
      <c r="T46" s="594" t="s">
        <v>31</v>
      </c>
      <c r="U46" s="359">
        <f>U42+U44</f>
        <v>800</v>
      </c>
      <c r="V46" s="315"/>
      <c r="W46" s="6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74"/>
      <c r="AJ46" s="474"/>
      <c r="AK46" s="474"/>
      <c r="AL46" s="474"/>
      <c r="AM46" s="474"/>
      <c r="AN46" s="474"/>
      <c r="AO46" s="474"/>
      <c r="AP46" s="474"/>
      <c r="AQ46" s="474"/>
      <c r="AR46" s="474"/>
      <c r="AS46" s="474"/>
      <c r="AT46" s="474"/>
      <c r="AU46" s="474"/>
      <c r="AV46" s="474"/>
      <c r="AW46" s="474"/>
      <c r="AX46" s="474"/>
      <c r="AY46" s="474"/>
      <c r="AZ46" s="474"/>
      <c r="BA46" s="474"/>
      <c r="BB46" s="474"/>
      <c r="BC46" s="474"/>
      <c r="BD46" s="474"/>
      <c r="BE46" s="474"/>
      <c r="BF46" s="474"/>
      <c r="BG46" s="474"/>
      <c r="BH46" s="474"/>
      <c r="BI46" s="474"/>
      <c r="BJ46" s="474"/>
      <c r="BK46" s="798"/>
      <c r="BL46" s="881"/>
      <c r="BM46" s="881"/>
      <c r="BN46" s="884"/>
      <c r="BO46" s="884"/>
      <c r="BP46" s="885"/>
      <c r="BQ46" s="885"/>
      <c r="BR46" s="884"/>
      <c r="BS46" s="884"/>
      <c r="BT46" s="884"/>
      <c r="BU46" s="884"/>
      <c r="BV46" s="881"/>
      <c r="BW46" s="881"/>
      <c r="BX46" s="821"/>
      <c r="BY46" s="821"/>
      <c r="BZ46" s="821"/>
      <c r="CA46" s="821"/>
      <c r="CB46" s="865"/>
      <c r="CC46" s="877"/>
      <c r="CD46" s="865"/>
      <c r="CE46" s="606"/>
      <c r="CF46" s="606"/>
      <c r="CG46" s="606"/>
      <c r="CH46" s="606"/>
      <c r="CI46" s="606"/>
      <c r="CJ46" s="606"/>
      <c r="CK46" s="606"/>
      <c r="CL46" s="606"/>
      <c r="CM46" s="606"/>
      <c r="CN46" s="606"/>
      <c r="CO46" s="606"/>
      <c r="CP46" s="606"/>
      <c r="CQ46" s="606"/>
      <c r="CR46" s="606"/>
      <c r="CS46" s="606"/>
      <c r="CT46" s="606"/>
      <c r="CU46" s="606"/>
      <c r="CV46" s="606"/>
      <c r="CW46" s="606"/>
      <c r="CX46" s="606"/>
      <c r="CY46" s="606"/>
      <c r="CZ46" s="606"/>
      <c r="DA46" s="606"/>
      <c r="DB46" s="606"/>
      <c r="DC46" s="606"/>
      <c r="DD46" s="606"/>
      <c r="DE46" s="606"/>
      <c r="DF46" s="606"/>
      <c r="DG46" s="606"/>
      <c r="DH46" s="606"/>
      <c r="DI46" s="606"/>
      <c r="DJ46" s="606"/>
      <c r="DK46" s="606"/>
      <c r="DL46" s="606"/>
      <c r="DM46" s="606"/>
      <c r="DN46" s="606"/>
      <c r="DO46" s="606"/>
      <c r="DP46" s="606"/>
      <c r="DQ46" s="606"/>
      <c r="DR46" s="606"/>
      <c r="DS46" s="606"/>
      <c r="DT46" s="606"/>
      <c r="DU46" s="606"/>
      <c r="DV46" s="606"/>
      <c r="DW46" s="606"/>
      <c r="DX46" s="606"/>
      <c r="DY46" s="606"/>
      <c r="DZ46" s="606"/>
    </row>
    <row r="47" spans="1:130" ht="15.75" customHeight="1" x14ac:dyDescent="0.3">
      <c r="A47" s="6"/>
      <c r="B47" s="15"/>
      <c r="C47" s="678" t="s">
        <v>224</v>
      </c>
      <c r="D47" s="709" t="str">
        <f>BO40</f>
        <v xml:space="preserve">Cinema, teatro, templo, igreja e locais de curta </v>
      </c>
      <c r="E47" s="402"/>
      <c r="F47" s="638" t="s">
        <v>32</v>
      </c>
      <c r="G47" s="638">
        <v>2</v>
      </c>
      <c r="H47" s="638">
        <v>0.02</v>
      </c>
      <c r="I47" s="27"/>
      <c r="J47" s="28"/>
      <c r="K47" s="651"/>
      <c r="L47" s="402"/>
      <c r="M47" s="26"/>
      <c r="N47" s="667" t="str">
        <f>IF($U$46&gt;12000.001,"Adotar outro sistema, que deverá ser aprovado na CETESB"," ")</f>
        <v xml:space="preserve"> </v>
      </c>
      <c r="O47" s="667"/>
      <c r="P47" s="671"/>
      <c r="Q47" s="671"/>
      <c r="R47" s="671"/>
      <c r="S47" s="668"/>
      <c r="T47" s="669"/>
      <c r="U47" s="670"/>
      <c r="V47" s="315"/>
      <c r="W47" s="32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74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  <c r="BB47" s="474"/>
      <c r="BC47" s="474"/>
      <c r="BD47" s="474"/>
      <c r="BE47" s="474"/>
      <c r="BF47" s="474"/>
      <c r="BG47" s="474"/>
      <c r="BH47" s="474"/>
      <c r="BI47" s="474"/>
      <c r="BJ47" s="474"/>
      <c r="BK47" s="798"/>
      <c r="BL47" s="880"/>
      <c r="BM47" s="880"/>
      <c r="BN47" s="884"/>
      <c r="BO47" s="884"/>
      <c r="BP47" s="881"/>
      <c r="BQ47" s="881"/>
      <c r="BR47" s="884"/>
      <c r="BS47" s="884"/>
      <c r="BT47" s="884"/>
      <c r="BU47" s="884"/>
      <c r="BV47" s="881"/>
      <c r="BW47" s="881"/>
      <c r="BX47" s="821"/>
      <c r="BY47" s="821"/>
      <c r="BZ47" s="821"/>
      <c r="CA47" s="821"/>
      <c r="CB47" s="865"/>
      <c r="CC47" s="877"/>
      <c r="CD47" s="865"/>
      <c r="CE47" s="606"/>
      <c r="CF47" s="606"/>
      <c r="CG47" s="606"/>
      <c r="CH47" s="606"/>
      <c r="CI47" s="606"/>
      <c r="CJ47" s="606"/>
      <c r="CK47" s="606"/>
      <c r="CL47" s="606"/>
      <c r="CM47" s="606"/>
      <c r="CN47" s="606"/>
      <c r="CO47" s="606"/>
      <c r="CP47" s="606"/>
      <c r="CQ47" s="606"/>
      <c r="CR47" s="606"/>
      <c r="CS47" s="606"/>
      <c r="CT47" s="606"/>
      <c r="CU47" s="606"/>
      <c r="CV47" s="606"/>
      <c r="CW47" s="606"/>
      <c r="CX47" s="606"/>
      <c r="CY47" s="606"/>
      <c r="CZ47" s="606"/>
      <c r="DA47" s="606"/>
      <c r="DB47" s="606"/>
      <c r="DC47" s="606"/>
      <c r="DD47" s="606"/>
      <c r="DE47" s="606"/>
      <c r="DF47" s="606"/>
      <c r="DG47" s="606"/>
      <c r="DH47" s="606"/>
      <c r="DI47" s="606"/>
      <c r="DJ47" s="606"/>
      <c r="DK47" s="606"/>
      <c r="DL47" s="606"/>
      <c r="DM47" s="606"/>
      <c r="DN47" s="606"/>
      <c r="DO47" s="606"/>
      <c r="DP47" s="606"/>
      <c r="DQ47" s="606"/>
      <c r="DR47" s="606"/>
      <c r="DS47" s="606"/>
      <c r="DT47" s="606"/>
      <c r="DU47" s="606"/>
      <c r="DV47" s="606"/>
      <c r="DW47" s="606"/>
      <c r="DX47" s="606"/>
      <c r="DY47" s="606"/>
      <c r="DZ47" s="606"/>
    </row>
    <row r="48" spans="1:130" ht="15.75" customHeight="1" x14ac:dyDescent="0.3">
      <c r="A48" s="6"/>
      <c r="B48" s="15"/>
      <c r="C48" s="510"/>
      <c r="D48" s="376" t="s">
        <v>214</v>
      </c>
      <c r="E48" s="402"/>
      <c r="F48" s="643"/>
      <c r="G48" s="643"/>
      <c r="H48" s="643"/>
      <c r="I48" s="18"/>
      <c r="J48" s="28"/>
      <c r="K48" s="651"/>
      <c r="L48" s="402"/>
      <c r="M48" s="26"/>
      <c r="N48" s="667"/>
      <c r="O48" s="374"/>
      <c r="P48" s="56"/>
      <c r="Q48" s="56"/>
      <c r="R48" s="56"/>
      <c r="S48" s="377"/>
      <c r="T48" s="594"/>
      <c r="U48" s="360"/>
      <c r="V48" s="315"/>
      <c r="W48" s="6"/>
      <c r="X48" s="471"/>
      <c r="Y48" s="471"/>
      <c r="Z48" s="471"/>
      <c r="AA48" s="471"/>
      <c r="AB48" s="471"/>
      <c r="AC48" s="471"/>
      <c r="AD48" s="471"/>
      <c r="AE48" s="471"/>
      <c r="AF48" s="471"/>
      <c r="AG48" s="471"/>
      <c r="AH48" s="471"/>
      <c r="AI48" s="471"/>
      <c r="AJ48" s="471"/>
      <c r="AK48" s="471"/>
      <c r="AL48" s="471"/>
      <c r="AM48" s="471"/>
      <c r="AN48" s="471"/>
      <c r="AO48" s="471"/>
      <c r="AP48" s="471"/>
      <c r="AQ48" s="471"/>
      <c r="AR48" s="471"/>
      <c r="AS48" s="471"/>
      <c r="AT48" s="471"/>
      <c r="AU48" s="471"/>
      <c r="AV48" s="471"/>
      <c r="AW48" s="471"/>
      <c r="AX48" s="471"/>
      <c r="AY48" s="471"/>
      <c r="AZ48" s="471"/>
      <c r="BA48" s="471"/>
      <c r="BB48" s="471"/>
      <c r="BC48" s="471"/>
      <c r="BD48" s="471"/>
      <c r="BE48" s="471"/>
      <c r="BF48" s="471"/>
      <c r="BG48" s="471"/>
      <c r="BH48" s="471"/>
      <c r="BI48" s="471"/>
      <c r="BJ48" s="471"/>
      <c r="BK48" s="798"/>
      <c r="BL48" s="880"/>
      <c r="BM48" s="880"/>
      <c r="BN48" s="880"/>
      <c r="BO48" s="880"/>
      <c r="BP48" s="881"/>
      <c r="BQ48" s="881"/>
      <c r="BR48" s="884"/>
      <c r="BS48" s="884"/>
      <c r="BT48" s="884"/>
      <c r="BU48" s="884"/>
      <c r="BV48" s="885"/>
      <c r="BW48" s="885"/>
      <c r="BX48" s="821"/>
      <c r="BY48" s="821"/>
      <c r="BZ48" s="821"/>
      <c r="CA48" s="821"/>
      <c r="CB48" s="865"/>
      <c r="CC48" s="877"/>
      <c r="CD48" s="865"/>
      <c r="CE48" s="606"/>
      <c r="CF48" s="606"/>
      <c r="CG48" s="606"/>
      <c r="CH48" s="606"/>
      <c r="CI48" s="606"/>
      <c r="CJ48" s="606"/>
      <c r="CK48" s="606"/>
      <c r="CL48" s="606"/>
      <c r="CM48" s="606"/>
      <c r="CN48" s="606"/>
      <c r="CO48" s="606"/>
      <c r="CP48" s="606"/>
      <c r="CQ48" s="606"/>
      <c r="CR48" s="606"/>
      <c r="CS48" s="606"/>
      <c r="CT48" s="606"/>
      <c r="CU48" s="606"/>
      <c r="CV48" s="606"/>
      <c r="CW48" s="606"/>
      <c r="CX48" s="606"/>
      <c r="CY48" s="606"/>
      <c r="CZ48" s="606"/>
      <c r="DA48" s="606"/>
      <c r="DB48" s="606"/>
      <c r="DC48" s="606"/>
      <c r="DD48" s="606"/>
      <c r="DE48" s="606"/>
      <c r="DF48" s="606"/>
      <c r="DG48" s="606"/>
      <c r="DH48" s="606"/>
      <c r="DI48" s="606"/>
      <c r="DJ48" s="606"/>
      <c r="DK48" s="606"/>
      <c r="DL48" s="606"/>
      <c r="DM48" s="606"/>
      <c r="DN48" s="606"/>
      <c r="DO48" s="606"/>
      <c r="DP48" s="606"/>
      <c r="DQ48" s="606"/>
      <c r="DR48" s="606"/>
      <c r="DS48" s="606"/>
      <c r="DT48" s="606"/>
      <c r="DU48" s="606"/>
      <c r="DV48" s="606"/>
      <c r="DW48" s="606"/>
      <c r="DX48" s="606"/>
      <c r="DY48" s="606"/>
      <c r="DZ48" s="606"/>
    </row>
    <row r="49" spans="1:128" ht="15.75" customHeight="1" thickBot="1" x14ac:dyDescent="0.3">
      <c r="A49" s="6"/>
      <c r="B49" s="15"/>
      <c r="C49" s="678" t="s">
        <v>224</v>
      </c>
      <c r="D49" s="296" t="str">
        <f>BO26</f>
        <v>Ambulatório</v>
      </c>
      <c r="E49" s="296"/>
      <c r="F49" s="638" t="s">
        <v>186</v>
      </c>
      <c r="G49" s="638">
        <v>25</v>
      </c>
      <c r="H49" s="638">
        <v>0.2</v>
      </c>
      <c r="I49" s="27"/>
      <c r="J49" s="28"/>
      <c r="K49" s="651"/>
      <c r="L49" s="402"/>
      <c r="M49" s="296" t="s">
        <v>35</v>
      </c>
      <c r="N49" s="375" t="s">
        <v>36</v>
      </c>
      <c r="O49" s="597"/>
      <c r="P49" s="296"/>
      <c r="Q49" s="56"/>
      <c r="R49" s="56"/>
      <c r="S49" s="26"/>
      <c r="T49" s="56"/>
      <c r="U49" s="25"/>
      <c r="V49" s="315"/>
      <c r="W49" s="6"/>
      <c r="X49" s="471"/>
      <c r="Y49" s="471"/>
      <c r="Z49" s="471"/>
      <c r="AA49" s="471"/>
      <c r="AB49" s="471"/>
      <c r="AC49" s="471"/>
      <c r="AD49" s="471"/>
      <c r="AE49" s="471"/>
      <c r="AF49" s="471"/>
      <c r="AG49" s="471"/>
      <c r="AH49" s="471"/>
      <c r="AI49" s="471"/>
      <c r="AJ49" s="471"/>
      <c r="AK49" s="471"/>
      <c r="AL49" s="471"/>
      <c r="AM49" s="471"/>
      <c r="AN49" s="471"/>
      <c r="AO49" s="471"/>
      <c r="AP49" s="471"/>
      <c r="AQ49" s="471"/>
      <c r="AR49" s="471"/>
      <c r="AS49" s="471"/>
      <c r="AT49" s="471"/>
      <c r="AU49" s="471"/>
      <c r="AV49" s="471"/>
      <c r="AW49" s="471"/>
      <c r="AX49" s="471"/>
      <c r="AY49" s="471"/>
      <c r="AZ49" s="471"/>
      <c r="BA49" s="471"/>
      <c r="BB49" s="471"/>
      <c r="BC49" s="471"/>
      <c r="BD49" s="471"/>
      <c r="BE49" s="471"/>
      <c r="BF49" s="471"/>
      <c r="BG49" s="471"/>
      <c r="BH49" s="471"/>
      <c r="BI49" s="471"/>
      <c r="BJ49" s="471"/>
      <c r="BK49" s="798"/>
      <c r="BL49" s="881"/>
      <c r="BM49" s="821"/>
      <c r="BN49" s="884"/>
      <c r="BO49" s="882"/>
      <c r="BP49" s="881"/>
      <c r="BQ49" s="881"/>
      <c r="BR49" s="884"/>
      <c r="BS49" s="884"/>
      <c r="BT49" s="884"/>
      <c r="BU49" s="884"/>
      <c r="BV49" s="884"/>
      <c r="BW49" s="865"/>
      <c r="BX49" s="865"/>
      <c r="BY49" s="865"/>
      <c r="BZ49" s="865"/>
      <c r="CA49" s="886"/>
      <c r="CB49" s="865"/>
      <c r="CC49" s="865"/>
      <c r="CD49" s="865"/>
      <c r="CE49" s="606"/>
      <c r="CF49" s="606"/>
      <c r="CG49" s="606"/>
      <c r="CH49" s="606"/>
      <c r="CI49" s="606"/>
      <c r="CJ49" s="606"/>
      <c r="CK49" s="606"/>
      <c r="CL49" s="606"/>
      <c r="CM49" s="606"/>
      <c r="CN49" s="606"/>
      <c r="CO49" s="606"/>
      <c r="CP49" s="606"/>
      <c r="CQ49" s="606"/>
      <c r="CR49" s="606"/>
      <c r="CS49" s="606"/>
      <c r="CT49" s="606"/>
      <c r="CU49" s="606"/>
      <c r="CV49" s="606"/>
      <c r="CW49" s="606"/>
      <c r="CX49" s="606"/>
      <c r="CY49" s="606"/>
      <c r="CZ49" s="606"/>
      <c r="DA49" s="606"/>
      <c r="DB49" s="606"/>
      <c r="DC49" s="606"/>
      <c r="DD49" s="606"/>
      <c r="DE49" s="606"/>
      <c r="DF49" s="606"/>
      <c r="DG49" s="606"/>
      <c r="DH49" s="606"/>
      <c r="DI49" s="606"/>
      <c r="DJ49" s="606"/>
      <c r="DK49" s="606"/>
      <c r="DL49" s="606"/>
      <c r="DM49" s="606"/>
      <c r="DN49" s="606"/>
      <c r="DO49" s="606"/>
      <c r="DP49" s="606"/>
      <c r="DQ49" s="606"/>
      <c r="DR49" s="606"/>
      <c r="DS49" s="606"/>
      <c r="DT49" s="606"/>
      <c r="DU49" s="606"/>
      <c r="DV49" s="606"/>
      <c r="DW49" s="606"/>
      <c r="DX49" s="606"/>
    </row>
    <row r="50" spans="1:128" ht="15.75" customHeight="1" thickBot="1" x14ac:dyDescent="0.3">
      <c r="A50" s="6"/>
      <c r="B50" s="15"/>
      <c r="C50" s="678" t="s">
        <v>224</v>
      </c>
      <c r="D50" s="296" t="str">
        <f>BO27</f>
        <v>Estação ferroviária, rodoviária e metroviária</v>
      </c>
      <c r="E50" s="296"/>
      <c r="F50" s="638" t="s">
        <v>189</v>
      </c>
      <c r="G50" s="638">
        <v>25</v>
      </c>
      <c r="H50" s="638">
        <v>0.2</v>
      </c>
      <c r="I50" s="27"/>
      <c r="J50" s="28"/>
      <c r="K50" s="651"/>
      <c r="L50" s="402"/>
      <c r="M50" s="26"/>
      <c r="N50" s="374" t="s">
        <v>38</v>
      </c>
      <c r="O50" s="374"/>
      <c r="P50" s="56"/>
      <c r="Q50" s="56"/>
      <c r="R50" s="56"/>
      <c r="S50" s="377" t="s">
        <v>13</v>
      </c>
      <c r="T50" s="594" t="s">
        <v>31</v>
      </c>
      <c r="U50" s="420">
        <f>IF(BX16&lt;&gt;0,BX16,IF(BY16&lt;&gt;0,BY16,IF(BZ16&lt;&gt;0,BZ16,IF(CA16&lt;&gt;0,CA16,"Erro"))))</f>
        <v>1</v>
      </c>
      <c r="V50" s="315"/>
      <c r="W50" s="6"/>
      <c r="X50" s="471"/>
      <c r="Y50" s="471"/>
      <c r="Z50" s="471"/>
      <c r="AA50" s="471"/>
      <c r="AB50" s="471"/>
      <c r="AC50" s="471"/>
      <c r="AD50" s="471"/>
      <c r="AE50" s="471"/>
      <c r="AF50" s="471"/>
      <c r="AG50" s="471"/>
      <c r="AH50" s="471"/>
      <c r="AI50" s="471"/>
      <c r="AJ50" s="471"/>
      <c r="AK50" s="471"/>
      <c r="AL50" s="471"/>
      <c r="AM50" s="471"/>
      <c r="AN50" s="471"/>
      <c r="AO50" s="471"/>
      <c r="AP50" s="471"/>
      <c r="AQ50" s="471"/>
      <c r="AR50" s="471"/>
      <c r="AS50" s="471"/>
      <c r="AT50" s="471"/>
      <c r="AU50" s="471"/>
      <c r="AV50" s="471"/>
      <c r="AW50" s="471"/>
      <c r="AX50" s="471"/>
      <c r="AY50" s="471"/>
      <c r="AZ50" s="471"/>
      <c r="BA50" s="471"/>
      <c r="BB50" s="471"/>
      <c r="BC50" s="471"/>
      <c r="BD50" s="471"/>
      <c r="BE50" s="471"/>
      <c r="BF50" s="471"/>
      <c r="BG50" s="471"/>
      <c r="BH50" s="471"/>
      <c r="BI50" s="471"/>
      <c r="BJ50" s="471"/>
      <c r="BK50" s="798"/>
      <c r="BL50" s="881"/>
      <c r="BM50" s="821"/>
      <c r="BN50" s="884"/>
      <c r="BO50" s="885"/>
      <c r="BP50" s="885"/>
      <c r="BQ50" s="884"/>
      <c r="BR50" s="884"/>
      <c r="BS50" s="884"/>
      <c r="BT50" s="884"/>
      <c r="BU50" s="884"/>
      <c r="BV50" s="865"/>
      <c r="BW50" s="887"/>
      <c r="BX50" s="865"/>
      <c r="BY50" s="865"/>
      <c r="BZ50" s="865"/>
      <c r="CA50" s="840"/>
      <c r="CB50" s="865"/>
      <c r="CC50" s="865"/>
      <c r="CD50" s="865"/>
      <c r="CE50" s="606"/>
      <c r="CF50" s="606"/>
      <c r="CG50" s="606"/>
      <c r="CH50" s="606"/>
      <c r="CI50" s="606"/>
      <c r="CJ50" s="606"/>
      <c r="CK50" s="606"/>
      <c r="CL50" s="606"/>
      <c r="CM50" s="606"/>
      <c r="CN50" s="606"/>
      <c r="CO50" s="606"/>
      <c r="CP50" s="606"/>
      <c r="CQ50" s="606"/>
      <c r="CR50" s="606"/>
      <c r="CS50" s="606"/>
      <c r="CT50" s="606"/>
      <c r="CU50" s="606"/>
      <c r="CV50" s="606"/>
      <c r="CW50" s="606"/>
      <c r="CX50" s="606"/>
      <c r="CY50" s="606"/>
      <c r="CZ50" s="606"/>
      <c r="DA50" s="606"/>
      <c r="DB50" s="606"/>
      <c r="DC50" s="606"/>
      <c r="DD50" s="606"/>
      <c r="DE50" s="606"/>
      <c r="DF50" s="606"/>
      <c r="DG50" s="606"/>
      <c r="DH50" s="606"/>
      <c r="DI50" s="606"/>
      <c r="DJ50" s="606"/>
      <c r="DK50" s="606"/>
      <c r="DL50" s="606"/>
      <c r="DM50" s="606"/>
      <c r="DN50" s="606"/>
      <c r="DO50" s="606"/>
      <c r="DP50" s="606"/>
      <c r="DQ50" s="606"/>
      <c r="DR50" s="606"/>
      <c r="DS50" s="606"/>
      <c r="DT50" s="606"/>
      <c r="DU50" s="606"/>
      <c r="DV50" s="606"/>
      <c r="DW50" s="606"/>
      <c r="DX50" s="606"/>
    </row>
    <row r="51" spans="1:128" ht="18.75" customHeight="1" thickBot="1" x14ac:dyDescent="0.3">
      <c r="A51" s="6"/>
      <c r="B51" s="15"/>
      <c r="C51" s="723" t="s">
        <v>224</v>
      </c>
      <c r="D51" s="724" t="str">
        <f>BO28</f>
        <v>Sanitário público</v>
      </c>
      <c r="E51" s="724"/>
      <c r="F51" s="639" t="s">
        <v>190</v>
      </c>
      <c r="G51" s="639">
        <v>480</v>
      </c>
      <c r="H51" s="639">
        <v>4</v>
      </c>
      <c r="I51" s="27"/>
      <c r="J51" s="28"/>
      <c r="K51" s="651"/>
      <c r="L51" s="402"/>
      <c r="M51" s="26"/>
      <c r="N51" s="374"/>
      <c r="O51" s="374"/>
      <c r="P51" s="56"/>
      <c r="Q51" s="56"/>
      <c r="R51" s="56"/>
      <c r="S51" s="26"/>
      <c r="T51" s="56"/>
      <c r="U51" s="432"/>
      <c r="V51" s="315"/>
      <c r="W51" s="6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1"/>
      <c r="AK51" s="471"/>
      <c r="AL51" s="471"/>
      <c r="AM51" s="471"/>
      <c r="AN51" s="471"/>
      <c r="AO51" s="471"/>
      <c r="AP51" s="471"/>
      <c r="AQ51" s="471"/>
      <c r="AR51" s="471"/>
      <c r="AS51" s="471"/>
      <c r="AT51" s="471"/>
      <c r="AU51" s="471"/>
      <c r="AV51" s="471"/>
      <c r="AW51" s="471"/>
      <c r="AX51" s="471"/>
      <c r="AY51" s="471"/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798"/>
      <c r="BL51" s="881"/>
      <c r="BM51" s="821"/>
      <c r="BN51" s="884"/>
      <c r="BO51" s="881"/>
      <c r="BP51" s="881"/>
      <c r="BQ51" s="884"/>
      <c r="BR51" s="884"/>
      <c r="BS51" s="884"/>
      <c r="BT51" s="884"/>
      <c r="BU51" s="884"/>
      <c r="BV51" s="888"/>
      <c r="BW51" s="887"/>
      <c r="BX51" s="865"/>
      <c r="BY51" s="865"/>
      <c r="BZ51" s="865"/>
      <c r="CA51" s="889"/>
      <c r="CB51" s="865"/>
      <c r="CC51" s="865"/>
      <c r="CD51" s="865"/>
      <c r="CE51" s="606"/>
      <c r="CF51" s="606"/>
      <c r="CG51" s="606"/>
      <c r="CH51" s="606"/>
      <c r="CI51" s="606"/>
      <c r="CJ51" s="606"/>
      <c r="CK51" s="606"/>
      <c r="CL51" s="606"/>
      <c r="CM51" s="606"/>
      <c r="CN51" s="606"/>
      <c r="CO51" s="606"/>
      <c r="CP51" s="606"/>
      <c r="CQ51" s="606"/>
      <c r="CR51" s="606"/>
      <c r="CS51" s="606"/>
      <c r="CT51" s="606"/>
      <c r="CU51" s="606"/>
      <c r="CV51" s="606"/>
      <c r="CW51" s="606"/>
      <c r="CX51" s="606"/>
      <c r="CY51" s="606"/>
      <c r="CZ51" s="606"/>
      <c r="DA51" s="606"/>
      <c r="DB51" s="606"/>
      <c r="DC51" s="606"/>
      <c r="DD51" s="606"/>
      <c r="DE51" s="606"/>
      <c r="DF51" s="606"/>
      <c r="DG51" s="606"/>
      <c r="DH51" s="606"/>
      <c r="DI51" s="606"/>
      <c r="DJ51" s="606"/>
      <c r="DK51" s="606"/>
      <c r="DL51" s="606"/>
      <c r="DM51" s="606"/>
      <c r="DN51" s="606"/>
      <c r="DO51" s="606"/>
      <c r="DP51" s="606"/>
      <c r="DQ51" s="606"/>
      <c r="DR51" s="606"/>
      <c r="DS51" s="606"/>
      <c r="DT51" s="606"/>
      <c r="DU51" s="606"/>
      <c r="DV51" s="606"/>
      <c r="DW51" s="606"/>
      <c r="DX51" s="606"/>
    </row>
    <row r="52" spans="1:128" ht="15" customHeight="1" thickBot="1" x14ac:dyDescent="0.3">
      <c r="A52" s="6"/>
      <c r="B52" s="15"/>
      <c r="C52" s="514"/>
      <c r="D52" s="17"/>
      <c r="E52" s="33"/>
      <c r="F52" s="33"/>
      <c r="G52" s="31"/>
      <c r="H52" s="17"/>
      <c r="I52" s="27"/>
      <c r="J52" s="28"/>
      <c r="K52" s="651"/>
      <c r="L52" s="402"/>
      <c r="M52" s="26"/>
      <c r="N52" s="374"/>
      <c r="O52" s="374"/>
      <c r="P52" s="56"/>
      <c r="Q52" s="56"/>
      <c r="R52" s="56"/>
      <c r="S52" s="377" t="s">
        <v>21</v>
      </c>
      <c r="T52" s="594" t="s">
        <v>31</v>
      </c>
      <c r="U52" s="420">
        <f>IF(BX34&lt;&gt;0,BX34,IF(BY34&lt;&gt;0,BY34,IF(BZ34&lt;&gt;0,BZ34,IF(CA34&lt;&gt;0,CA34,0))))</f>
        <v>0</v>
      </c>
      <c r="V52" s="315"/>
      <c r="W52" s="6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1"/>
      <c r="AY52" s="471"/>
      <c r="AZ52" s="471"/>
      <c r="BA52" s="471"/>
      <c r="BB52" s="471"/>
      <c r="BC52" s="471"/>
      <c r="BD52" s="471"/>
      <c r="BE52" s="471"/>
      <c r="BF52" s="471"/>
      <c r="BG52" s="471"/>
      <c r="BH52" s="471"/>
      <c r="BI52" s="471"/>
      <c r="BJ52" s="471"/>
      <c r="BK52" s="798"/>
      <c r="BL52" s="880"/>
      <c r="BM52" s="821"/>
      <c r="BN52" s="882"/>
      <c r="BO52" s="881"/>
      <c r="BP52" s="881"/>
      <c r="BQ52" s="884"/>
      <c r="BR52" s="884"/>
      <c r="BS52" s="884"/>
      <c r="BT52" s="884"/>
      <c r="BU52" s="884"/>
      <c r="BV52" s="888"/>
      <c r="BW52" s="887"/>
      <c r="BX52" s="865"/>
      <c r="BY52" s="865"/>
      <c r="BZ52" s="865"/>
      <c r="CA52" s="889"/>
      <c r="CB52" s="865"/>
      <c r="CC52" s="865"/>
      <c r="CD52" s="865"/>
      <c r="CE52" s="606"/>
      <c r="CF52" s="606"/>
      <c r="CG52" s="606"/>
      <c r="CH52" s="606"/>
      <c r="CI52" s="606"/>
      <c r="CJ52" s="606"/>
      <c r="CK52" s="606"/>
      <c r="CL52" s="606"/>
      <c r="CM52" s="606"/>
      <c r="CN52" s="606"/>
      <c r="CO52" s="606"/>
      <c r="CP52" s="606"/>
      <c r="CQ52" s="606"/>
      <c r="CR52" s="606"/>
      <c r="CS52" s="606"/>
      <c r="CT52" s="606"/>
      <c r="CU52" s="606"/>
      <c r="CV52" s="606"/>
      <c r="CW52" s="606"/>
      <c r="CX52" s="606"/>
      <c r="CY52" s="606"/>
      <c r="CZ52" s="606"/>
      <c r="DA52" s="606"/>
      <c r="DB52" s="606"/>
      <c r="DC52" s="606"/>
      <c r="DD52" s="606"/>
      <c r="DE52" s="606"/>
      <c r="DF52" s="606"/>
      <c r="DG52" s="606"/>
      <c r="DH52" s="606"/>
      <c r="DI52" s="606"/>
      <c r="DJ52" s="606"/>
      <c r="DK52" s="606"/>
      <c r="DL52" s="606"/>
      <c r="DM52" s="606"/>
      <c r="DN52" s="606"/>
      <c r="DO52" s="606"/>
      <c r="DP52" s="606"/>
      <c r="DQ52" s="606"/>
      <c r="DR52" s="606"/>
      <c r="DS52" s="606"/>
      <c r="DT52" s="606"/>
      <c r="DU52" s="606"/>
      <c r="DV52" s="606"/>
      <c r="DW52" s="606"/>
      <c r="DX52" s="606"/>
    </row>
    <row r="53" spans="1:128" ht="15.75" customHeight="1" x14ac:dyDescent="0.25">
      <c r="A53" s="6"/>
      <c r="B53" s="15"/>
      <c r="C53" s="488" t="s">
        <v>191</v>
      </c>
      <c r="D53" s="17"/>
      <c r="E53" s="33"/>
      <c r="F53" s="33"/>
      <c r="G53" s="31"/>
      <c r="H53" s="17"/>
      <c r="I53" s="27"/>
      <c r="J53" s="28"/>
      <c r="K53" s="651"/>
      <c r="L53" s="402"/>
      <c r="M53" s="26"/>
      <c r="N53" s="374"/>
      <c r="O53" s="374"/>
      <c r="P53" s="56"/>
      <c r="Q53" s="56"/>
      <c r="R53" s="56"/>
      <c r="S53" s="377"/>
      <c r="T53" s="594"/>
      <c r="U53" s="428"/>
      <c r="V53" s="315"/>
      <c r="W53" s="32"/>
      <c r="X53" s="471"/>
      <c r="Y53" s="471"/>
      <c r="Z53" s="471"/>
      <c r="AA53" s="471"/>
      <c r="AB53" s="471"/>
      <c r="AC53" s="471"/>
      <c r="AD53" s="471"/>
      <c r="AE53" s="471"/>
      <c r="AF53" s="471"/>
      <c r="AG53" s="471"/>
      <c r="AH53" s="471"/>
      <c r="AI53" s="471"/>
      <c r="AJ53" s="471"/>
      <c r="AK53" s="471"/>
      <c r="AL53" s="471"/>
      <c r="AM53" s="471"/>
      <c r="AN53" s="471"/>
      <c r="AO53" s="471"/>
      <c r="AP53" s="471"/>
      <c r="AQ53" s="471"/>
      <c r="AR53" s="471"/>
      <c r="AS53" s="471"/>
      <c r="AT53" s="471"/>
      <c r="AU53" s="471"/>
      <c r="AV53" s="471"/>
      <c r="AW53" s="471"/>
      <c r="AX53" s="471"/>
      <c r="AY53" s="471"/>
      <c r="AZ53" s="471"/>
      <c r="BA53" s="471"/>
      <c r="BB53" s="471"/>
      <c r="BC53" s="471"/>
      <c r="BD53" s="471"/>
      <c r="BE53" s="471"/>
      <c r="BF53" s="471"/>
      <c r="BG53" s="471"/>
      <c r="BH53" s="471"/>
      <c r="BI53" s="471"/>
      <c r="BJ53" s="471"/>
      <c r="BK53" s="798"/>
      <c r="BL53" s="880"/>
      <c r="BM53" s="821"/>
      <c r="BN53" s="882"/>
      <c r="BO53" s="881"/>
      <c r="BP53" s="881"/>
      <c r="BQ53" s="884"/>
      <c r="BR53" s="884"/>
      <c r="BS53" s="884"/>
      <c r="BT53" s="884"/>
      <c r="BU53" s="884"/>
      <c r="BV53" s="888"/>
      <c r="BW53" s="887"/>
      <c r="BX53" s="884"/>
      <c r="BY53" s="865"/>
      <c r="BZ53" s="865"/>
      <c r="CA53" s="890"/>
      <c r="CB53" s="865"/>
      <c r="CC53" s="865"/>
      <c r="CD53" s="865"/>
      <c r="CE53" s="606"/>
      <c r="CF53" s="606"/>
      <c r="CG53" s="606"/>
      <c r="CH53" s="606"/>
      <c r="CI53" s="606"/>
      <c r="CJ53" s="606"/>
      <c r="CK53" s="606"/>
      <c r="CL53" s="606"/>
      <c r="CM53" s="606"/>
      <c r="CN53" s="606"/>
      <c r="CO53" s="606"/>
      <c r="CP53" s="606"/>
      <c r="CQ53" s="606"/>
      <c r="CR53" s="606"/>
      <c r="CS53" s="606"/>
      <c r="CT53" s="606"/>
      <c r="CU53" s="606"/>
      <c r="CV53" s="606"/>
      <c r="CW53" s="606"/>
      <c r="CX53" s="606"/>
      <c r="CY53" s="606"/>
      <c r="CZ53" s="606"/>
      <c r="DA53" s="606"/>
      <c r="DB53" s="606"/>
      <c r="DC53" s="606"/>
      <c r="DD53" s="606"/>
      <c r="DE53" s="606"/>
      <c r="DF53" s="606"/>
      <c r="DG53" s="606"/>
      <c r="DH53" s="606"/>
      <c r="DI53" s="606"/>
      <c r="DJ53" s="606"/>
      <c r="DK53" s="606"/>
      <c r="DL53" s="606"/>
      <c r="DM53" s="606"/>
      <c r="DN53" s="606"/>
      <c r="DO53" s="606"/>
      <c r="DP53" s="606"/>
      <c r="DQ53" s="606"/>
      <c r="DR53" s="606"/>
      <c r="DS53" s="606"/>
      <c r="DT53" s="606"/>
      <c r="DU53" s="606"/>
      <c r="DV53" s="606"/>
      <c r="DW53" s="606"/>
      <c r="DX53" s="606"/>
    </row>
    <row r="54" spans="1:128" ht="15.75" customHeight="1" thickBot="1" x14ac:dyDescent="0.3">
      <c r="A54" s="6"/>
      <c r="B54" s="15"/>
      <c r="C54" s="514"/>
      <c r="D54" s="17"/>
      <c r="E54" s="17"/>
      <c r="F54" s="17"/>
      <c r="G54" s="31"/>
      <c r="H54" s="17"/>
      <c r="I54" s="27"/>
      <c r="J54" s="28"/>
      <c r="K54" s="651"/>
      <c r="L54" s="402"/>
      <c r="M54" s="296" t="s">
        <v>44</v>
      </c>
      <c r="N54" s="375" t="s">
        <v>313</v>
      </c>
      <c r="O54" s="375"/>
      <c r="P54" s="443"/>
      <c r="Q54" s="443"/>
      <c r="R54" s="443"/>
      <c r="S54" s="296"/>
      <c r="T54" s="443"/>
      <c r="U54" s="383"/>
      <c r="V54" s="424"/>
      <c r="W54" s="6"/>
      <c r="X54" s="471"/>
      <c r="Y54" s="471"/>
      <c r="Z54" s="471"/>
      <c r="AA54" s="471"/>
      <c r="AB54" s="471"/>
      <c r="AC54" s="471"/>
      <c r="AD54" s="471"/>
      <c r="AE54" s="471"/>
      <c r="AF54" s="471"/>
      <c r="AG54" s="471"/>
      <c r="AH54" s="471"/>
      <c r="AI54" s="471"/>
      <c r="AJ54" s="471"/>
      <c r="AK54" s="471"/>
      <c r="AL54" s="471"/>
      <c r="AM54" s="471"/>
      <c r="AN54" s="471"/>
      <c r="AO54" s="471"/>
      <c r="AP54" s="471"/>
      <c r="AQ54" s="471"/>
      <c r="AR54" s="471"/>
      <c r="AS54" s="471"/>
      <c r="AT54" s="471"/>
      <c r="AU54" s="471"/>
      <c r="AV54" s="471"/>
      <c r="AW54" s="471"/>
      <c r="AX54" s="471"/>
      <c r="AY54" s="471"/>
      <c r="AZ54" s="471"/>
      <c r="BA54" s="471"/>
      <c r="BB54" s="471"/>
      <c r="BC54" s="471"/>
      <c r="BD54" s="471"/>
      <c r="BE54" s="471"/>
      <c r="BF54" s="471"/>
      <c r="BG54" s="471"/>
      <c r="BH54" s="471"/>
      <c r="BI54" s="471"/>
      <c r="BJ54" s="471"/>
      <c r="BK54" s="797"/>
      <c r="BL54" s="884"/>
      <c r="BM54" s="821"/>
      <c r="BN54" s="884"/>
      <c r="BO54" s="881"/>
      <c r="BP54" s="881"/>
      <c r="BQ54" s="884"/>
      <c r="BR54" s="884"/>
      <c r="BS54" s="884"/>
      <c r="BT54" s="884"/>
      <c r="BU54" s="884"/>
      <c r="BV54" s="888"/>
      <c r="BW54" s="887"/>
      <c r="BX54" s="884"/>
      <c r="BY54" s="865"/>
      <c r="BZ54" s="865"/>
      <c r="CA54" s="890"/>
      <c r="CB54" s="865"/>
      <c r="CC54" s="865"/>
      <c r="CD54" s="865"/>
      <c r="CE54" s="606"/>
      <c r="CF54" s="606"/>
      <c r="CG54" s="606"/>
      <c r="CH54" s="606"/>
      <c r="CI54" s="606"/>
      <c r="CJ54" s="606"/>
      <c r="CK54" s="606"/>
      <c r="CL54" s="606"/>
      <c r="CM54" s="606"/>
      <c r="CN54" s="606"/>
      <c r="CO54" s="606"/>
      <c r="CP54" s="606"/>
      <c r="CQ54" s="606"/>
      <c r="CR54" s="606"/>
      <c r="CS54" s="606"/>
      <c r="CT54" s="606"/>
      <c r="CU54" s="606"/>
      <c r="CV54" s="606"/>
      <c r="CW54" s="606"/>
      <c r="CX54" s="606"/>
      <c r="CY54" s="606"/>
      <c r="CZ54" s="606"/>
      <c r="DA54" s="606"/>
      <c r="DB54" s="606"/>
      <c r="DC54" s="606"/>
      <c r="DD54" s="606"/>
      <c r="DE54" s="606"/>
      <c r="DF54" s="606"/>
      <c r="DG54" s="606"/>
      <c r="DH54" s="606"/>
      <c r="DI54" s="606"/>
      <c r="DJ54" s="606"/>
      <c r="DK54" s="606"/>
      <c r="DL54" s="606"/>
      <c r="DM54" s="606"/>
      <c r="DN54" s="606"/>
      <c r="DO54" s="606"/>
      <c r="DP54" s="606"/>
      <c r="DQ54" s="606"/>
      <c r="DR54" s="606"/>
      <c r="DS54" s="606"/>
      <c r="DT54" s="606"/>
      <c r="DU54" s="606"/>
      <c r="DV54" s="606"/>
      <c r="DW54" s="606"/>
      <c r="DX54" s="606"/>
    </row>
    <row r="55" spans="1:128" ht="15.75" customHeight="1" thickBot="1" x14ac:dyDescent="0.3">
      <c r="A55" s="6"/>
      <c r="B55" s="15"/>
      <c r="C55" s="987" t="s">
        <v>37</v>
      </c>
      <c r="D55" s="988"/>
      <c r="E55" s="989"/>
      <c r="F55" s="976" t="s">
        <v>353</v>
      </c>
      <c r="G55" s="977"/>
      <c r="H55" s="978"/>
      <c r="I55" s="27"/>
      <c r="J55" s="28"/>
      <c r="K55" s="651"/>
      <c r="L55" s="402"/>
      <c r="M55" s="296"/>
      <c r="N55" s="445" t="s">
        <v>314</v>
      </c>
      <c r="O55" s="445"/>
      <c r="P55" s="443"/>
      <c r="Q55" s="443"/>
      <c r="R55" s="443"/>
      <c r="S55" s="24"/>
      <c r="T55" s="25" t="s">
        <v>364</v>
      </c>
      <c r="U55" s="420">
        <f>IF(BX18&lt;&gt;0,BX18,BY18)</f>
        <v>1</v>
      </c>
      <c r="V55" s="424"/>
      <c r="W55" s="6"/>
      <c r="X55" s="471"/>
      <c r="Y55" s="471"/>
      <c r="Z55" s="471"/>
      <c r="AA55" s="471"/>
      <c r="AB55" s="471"/>
      <c r="AC55" s="471"/>
      <c r="AD55" s="471"/>
      <c r="AE55" s="471"/>
      <c r="AF55" s="471"/>
      <c r="AG55" s="471"/>
      <c r="AH55" s="471"/>
      <c r="AI55" s="471"/>
      <c r="AJ55" s="471"/>
      <c r="AK55" s="471"/>
      <c r="AL55" s="471"/>
      <c r="AM55" s="471"/>
      <c r="AN55" s="471"/>
      <c r="AO55" s="471"/>
      <c r="AP55" s="471"/>
      <c r="AQ55" s="471"/>
      <c r="AR55" s="471"/>
      <c r="AS55" s="471"/>
      <c r="AT55" s="471"/>
      <c r="AU55" s="471"/>
      <c r="AV55" s="471"/>
      <c r="AW55" s="471"/>
      <c r="AX55" s="471"/>
      <c r="AY55" s="471"/>
      <c r="AZ55" s="471"/>
      <c r="BA55" s="471"/>
      <c r="BB55" s="471"/>
      <c r="BC55" s="471"/>
      <c r="BD55" s="471"/>
      <c r="BE55" s="471"/>
      <c r="BF55" s="471"/>
      <c r="BG55" s="471"/>
      <c r="BH55" s="471"/>
      <c r="BI55" s="471"/>
      <c r="BJ55" s="471"/>
      <c r="BK55" s="798"/>
      <c r="BL55" s="884"/>
      <c r="BM55" s="821"/>
      <c r="BN55" s="884"/>
      <c r="BO55" s="881"/>
      <c r="BP55" s="881"/>
      <c r="BQ55" s="884"/>
      <c r="BR55" s="884"/>
      <c r="BS55" s="884"/>
      <c r="BT55" s="884"/>
      <c r="BU55" s="884"/>
      <c r="BV55" s="888"/>
      <c r="BW55" s="887"/>
      <c r="BX55" s="884"/>
      <c r="BY55" s="865"/>
      <c r="BZ55" s="865"/>
      <c r="CA55" s="890"/>
      <c r="CB55" s="865"/>
      <c r="CC55" s="865"/>
      <c r="CD55" s="865"/>
      <c r="CE55" s="606"/>
      <c r="CF55" s="606"/>
      <c r="CG55" s="606"/>
      <c r="CH55" s="606"/>
      <c r="CI55" s="606"/>
      <c r="CJ55" s="606"/>
      <c r="CK55" s="606"/>
      <c r="CL55" s="606"/>
      <c r="CM55" s="606"/>
      <c r="CN55" s="606"/>
      <c r="CO55" s="606"/>
      <c r="CP55" s="606"/>
      <c r="CQ55" s="606"/>
      <c r="CR55" s="606"/>
      <c r="CS55" s="606"/>
      <c r="CT55" s="606"/>
      <c r="CU55" s="606"/>
      <c r="CV55" s="606"/>
      <c r="CW55" s="606"/>
      <c r="CX55" s="606"/>
      <c r="CY55" s="606"/>
      <c r="CZ55" s="606"/>
      <c r="DA55" s="606"/>
      <c r="DB55" s="606"/>
      <c r="DC55" s="606"/>
      <c r="DD55" s="606"/>
      <c r="DE55" s="606"/>
      <c r="DF55" s="606"/>
      <c r="DG55" s="606"/>
      <c r="DH55" s="606"/>
      <c r="DI55" s="606"/>
      <c r="DJ55" s="606"/>
      <c r="DK55" s="606"/>
      <c r="DL55" s="606"/>
      <c r="DM55" s="606"/>
      <c r="DN55" s="606"/>
      <c r="DO55" s="606"/>
      <c r="DP55" s="606"/>
      <c r="DQ55" s="606"/>
      <c r="DR55" s="606"/>
      <c r="DS55" s="606"/>
      <c r="DT55" s="606"/>
      <c r="DU55" s="606"/>
      <c r="DV55" s="606"/>
      <c r="DW55" s="606"/>
      <c r="DX55" s="606"/>
    </row>
    <row r="56" spans="1:128" ht="15.75" customHeight="1" thickBot="1" x14ac:dyDescent="0.3">
      <c r="A56" s="6"/>
      <c r="B56" s="15"/>
      <c r="C56" s="992"/>
      <c r="D56" s="993"/>
      <c r="E56" s="999"/>
      <c r="F56" s="642" t="s">
        <v>39</v>
      </c>
      <c r="G56" s="979" t="s">
        <v>40</v>
      </c>
      <c r="H56" s="980"/>
      <c r="I56" s="27"/>
      <c r="J56" s="28"/>
      <c r="K56" s="651"/>
      <c r="L56" s="402"/>
      <c r="M56" s="296"/>
      <c r="N56" s="445" t="s">
        <v>355</v>
      </c>
      <c r="O56" s="486"/>
      <c r="P56" s="443"/>
      <c r="Q56" s="443"/>
      <c r="R56" s="443"/>
      <c r="S56" s="24"/>
      <c r="T56" s="443"/>
      <c r="U56" s="383"/>
      <c r="V56" s="424"/>
      <c r="W56" s="6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1"/>
      <c r="AY56" s="471"/>
      <c r="AZ56" s="471"/>
      <c r="BA56" s="471"/>
      <c r="BB56" s="471"/>
      <c r="BC56" s="471"/>
      <c r="BD56" s="471"/>
      <c r="BE56" s="471"/>
      <c r="BF56" s="471"/>
      <c r="BG56" s="471"/>
      <c r="BH56" s="471"/>
      <c r="BI56" s="471"/>
      <c r="BJ56" s="471"/>
      <c r="BK56" s="798"/>
      <c r="BL56" s="884"/>
      <c r="BM56" s="884"/>
      <c r="BN56" s="884"/>
      <c r="BO56" s="884"/>
      <c r="BP56" s="884"/>
      <c r="BQ56" s="884"/>
      <c r="BR56" s="884"/>
      <c r="BS56" s="884"/>
      <c r="BT56" s="884"/>
      <c r="BU56" s="884"/>
      <c r="BV56" s="888"/>
      <c r="BW56" s="887"/>
      <c r="BX56" s="884"/>
      <c r="BY56" s="865"/>
      <c r="BZ56" s="865"/>
      <c r="CA56" s="890"/>
      <c r="CB56" s="865"/>
      <c r="CC56" s="865"/>
      <c r="CD56" s="865"/>
      <c r="CE56" s="606"/>
      <c r="CF56" s="606"/>
      <c r="CG56" s="606"/>
      <c r="CH56" s="606"/>
      <c r="CI56" s="606"/>
      <c r="CJ56" s="606"/>
      <c r="CK56" s="606"/>
      <c r="CL56" s="606"/>
      <c r="CM56" s="606"/>
      <c r="CN56" s="606"/>
      <c r="CO56" s="606"/>
      <c r="CP56" s="606"/>
      <c r="CQ56" s="606"/>
      <c r="CR56" s="606"/>
      <c r="CS56" s="606"/>
      <c r="CT56" s="606"/>
      <c r="CU56" s="606"/>
      <c r="CV56" s="606"/>
      <c r="CW56" s="606"/>
      <c r="CX56" s="606"/>
      <c r="CY56" s="606"/>
      <c r="CZ56" s="606"/>
      <c r="DA56" s="606"/>
      <c r="DB56" s="606"/>
      <c r="DC56" s="606"/>
      <c r="DD56" s="606"/>
      <c r="DE56" s="606"/>
      <c r="DF56" s="606"/>
      <c r="DG56" s="606"/>
      <c r="DH56" s="606"/>
      <c r="DI56" s="606"/>
      <c r="DJ56" s="606"/>
      <c r="DK56" s="606"/>
      <c r="DL56" s="606"/>
      <c r="DM56" s="606"/>
      <c r="DN56" s="606"/>
      <c r="DO56" s="606"/>
      <c r="DP56" s="606"/>
      <c r="DQ56" s="606"/>
      <c r="DR56" s="606"/>
      <c r="DS56" s="606"/>
      <c r="DT56" s="606"/>
      <c r="DU56" s="606"/>
      <c r="DV56" s="606"/>
      <c r="DW56" s="606"/>
      <c r="DX56" s="606"/>
    </row>
    <row r="57" spans="1:128" ht="15.75" customHeight="1" x14ac:dyDescent="0.25">
      <c r="A57" s="6"/>
      <c r="B57" s="15"/>
      <c r="C57" s="983" t="s">
        <v>41</v>
      </c>
      <c r="D57" s="1000"/>
      <c r="E57" s="984"/>
      <c r="F57" s="640">
        <v>1</v>
      </c>
      <c r="G57" s="981">
        <v>24</v>
      </c>
      <c r="H57" s="982"/>
      <c r="I57" s="27"/>
      <c r="J57" s="28"/>
      <c r="K57" s="651"/>
      <c r="L57" s="402"/>
      <c r="M57" s="296"/>
      <c r="N57" s="445"/>
      <c r="O57" s="445"/>
      <c r="P57" s="443"/>
      <c r="Q57" s="443"/>
      <c r="R57" s="443"/>
      <c r="S57" s="24"/>
      <c r="T57" s="443"/>
      <c r="U57" s="383"/>
      <c r="V57" s="424"/>
      <c r="W57" s="6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1"/>
      <c r="AP57" s="471"/>
      <c r="AQ57" s="471"/>
      <c r="AR57" s="471"/>
      <c r="AS57" s="471"/>
      <c r="AT57" s="471"/>
      <c r="AU57" s="471"/>
      <c r="AV57" s="471"/>
      <c r="AW57" s="471"/>
      <c r="AX57" s="471"/>
      <c r="AY57" s="471"/>
      <c r="AZ57" s="471"/>
      <c r="BA57" s="471"/>
      <c r="BB57" s="471"/>
      <c r="BC57" s="471"/>
      <c r="BD57" s="471"/>
      <c r="BE57" s="471"/>
      <c r="BF57" s="471"/>
      <c r="BG57" s="471"/>
      <c r="BH57" s="471"/>
      <c r="BI57" s="471"/>
      <c r="BJ57" s="471"/>
      <c r="BK57" s="798"/>
      <c r="BL57" s="884"/>
      <c r="BM57" s="884"/>
      <c r="BN57" s="884"/>
      <c r="BO57" s="884"/>
      <c r="BP57" s="884"/>
      <c r="BQ57" s="884"/>
      <c r="BR57" s="884"/>
      <c r="BS57" s="884"/>
      <c r="BT57" s="884"/>
      <c r="BU57" s="884"/>
      <c r="BV57" s="888"/>
      <c r="BW57" s="865"/>
      <c r="BX57" s="865"/>
      <c r="BY57" s="865"/>
      <c r="BZ57" s="865"/>
      <c r="CA57" s="890"/>
      <c r="CB57" s="865"/>
      <c r="CC57" s="865"/>
      <c r="CD57" s="865"/>
      <c r="CE57" s="606"/>
      <c r="CF57" s="606"/>
      <c r="CG57" s="606"/>
      <c r="CH57" s="606"/>
      <c r="CI57" s="606"/>
      <c r="CJ57" s="606"/>
      <c r="CK57" s="606"/>
      <c r="CL57" s="606"/>
      <c r="CM57" s="606"/>
      <c r="CN57" s="606"/>
      <c r="CO57" s="606"/>
      <c r="CP57" s="606"/>
      <c r="CQ57" s="606"/>
      <c r="CR57" s="606"/>
      <c r="CS57" s="606"/>
      <c r="CT57" s="606"/>
      <c r="CU57" s="606"/>
      <c r="CV57" s="606"/>
      <c r="CW57" s="606"/>
      <c r="CX57" s="606"/>
      <c r="CY57" s="606"/>
      <c r="CZ57" s="606"/>
      <c r="DA57" s="606"/>
      <c r="DB57" s="606"/>
      <c r="DC57" s="606"/>
      <c r="DD57" s="606"/>
      <c r="DE57" s="606"/>
      <c r="DF57" s="606"/>
      <c r="DG57" s="606"/>
      <c r="DH57" s="606"/>
      <c r="DI57" s="606"/>
      <c r="DJ57" s="606"/>
      <c r="DK57" s="606"/>
      <c r="DL57" s="606"/>
      <c r="DM57" s="606"/>
      <c r="DN57" s="606"/>
      <c r="DO57" s="606"/>
      <c r="DP57" s="606"/>
      <c r="DQ57" s="606"/>
      <c r="DR57" s="606"/>
      <c r="DS57" s="606"/>
      <c r="DT57" s="606"/>
      <c r="DU57" s="606"/>
      <c r="DV57" s="606"/>
      <c r="DW57" s="606"/>
      <c r="DX57" s="606"/>
    </row>
    <row r="58" spans="1:128" ht="15.75" customHeight="1" x14ac:dyDescent="0.25">
      <c r="A58" s="6"/>
      <c r="B58" s="15"/>
      <c r="C58" s="983" t="s">
        <v>42</v>
      </c>
      <c r="D58" s="1000"/>
      <c r="E58" s="984"/>
      <c r="F58" s="641">
        <v>0.92</v>
      </c>
      <c r="G58" s="983">
        <v>22</v>
      </c>
      <c r="H58" s="984"/>
      <c r="I58" s="27"/>
      <c r="J58" s="28"/>
      <c r="K58" s="651"/>
      <c r="L58" s="402"/>
      <c r="M58" s="296"/>
      <c r="N58" s="445"/>
      <c r="O58" s="445"/>
      <c r="P58" s="443"/>
      <c r="Q58" s="443"/>
      <c r="R58" s="443"/>
      <c r="S58" s="24"/>
      <c r="T58" s="443"/>
      <c r="U58" s="383"/>
      <c r="V58" s="424"/>
      <c r="W58" s="34"/>
      <c r="X58" s="471"/>
      <c r="Y58" s="471"/>
      <c r="Z58" s="471"/>
      <c r="AA58" s="471"/>
      <c r="AB58" s="471"/>
      <c r="AC58" s="471"/>
      <c r="AD58" s="471"/>
      <c r="AE58" s="471"/>
      <c r="AF58" s="471"/>
      <c r="AG58" s="471"/>
      <c r="AH58" s="471"/>
      <c r="AI58" s="471"/>
      <c r="AJ58" s="471"/>
      <c r="AK58" s="471"/>
      <c r="AL58" s="471"/>
      <c r="AM58" s="471"/>
      <c r="AN58" s="471"/>
      <c r="AO58" s="471"/>
      <c r="AP58" s="471"/>
      <c r="AQ58" s="471"/>
      <c r="AR58" s="471"/>
      <c r="AS58" s="471"/>
      <c r="AT58" s="471"/>
      <c r="AU58" s="471"/>
      <c r="AV58" s="471"/>
      <c r="AW58" s="471"/>
      <c r="AX58" s="471"/>
      <c r="AY58" s="471"/>
      <c r="AZ58" s="471"/>
      <c r="BA58" s="471"/>
      <c r="BB58" s="471"/>
      <c r="BC58" s="471"/>
      <c r="BD58" s="471"/>
      <c r="BE58" s="471"/>
      <c r="BF58" s="471"/>
      <c r="BG58" s="471"/>
      <c r="BH58" s="471"/>
      <c r="BI58" s="471"/>
      <c r="BJ58" s="471"/>
      <c r="BK58" s="798"/>
      <c r="BL58" s="884"/>
      <c r="BM58" s="884"/>
      <c r="BN58" s="891"/>
      <c r="BO58" s="884"/>
      <c r="BP58" s="884"/>
      <c r="BQ58" s="884"/>
      <c r="BR58" s="884"/>
      <c r="BS58" s="884"/>
      <c r="BT58" s="884"/>
      <c r="BU58" s="884"/>
      <c r="BV58" s="826"/>
      <c r="BW58" s="865"/>
      <c r="BX58" s="865"/>
      <c r="BY58" s="865"/>
      <c r="BZ58" s="865"/>
      <c r="CA58" s="865"/>
      <c r="CB58" s="865"/>
      <c r="CC58" s="865"/>
      <c r="CD58" s="865"/>
      <c r="CE58" s="606"/>
      <c r="CF58" s="606"/>
      <c r="CG58" s="606"/>
      <c r="CH58" s="606"/>
      <c r="CI58" s="606"/>
      <c r="CJ58" s="606"/>
      <c r="CK58" s="606"/>
      <c r="CL58" s="606"/>
      <c r="CM58" s="606"/>
      <c r="CN58" s="606"/>
      <c r="CO58" s="606"/>
      <c r="CP58" s="606"/>
      <c r="CQ58" s="606"/>
      <c r="CR58" s="606"/>
      <c r="CS58" s="606"/>
      <c r="CT58" s="606"/>
      <c r="CU58" s="606"/>
      <c r="CV58" s="606"/>
      <c r="CW58" s="606"/>
      <c r="CX58" s="606"/>
      <c r="CY58" s="606"/>
      <c r="CZ58" s="606"/>
      <c r="DA58" s="606"/>
      <c r="DB58" s="606"/>
      <c r="DC58" s="606"/>
      <c r="DD58" s="606"/>
      <c r="DE58" s="606"/>
      <c r="DF58" s="606"/>
      <c r="DG58" s="606"/>
      <c r="DH58" s="606"/>
      <c r="DI58" s="606"/>
      <c r="DJ58" s="606"/>
      <c r="DK58" s="606"/>
      <c r="DL58" s="606"/>
      <c r="DM58" s="606"/>
      <c r="DN58" s="606"/>
      <c r="DO58" s="606"/>
      <c r="DP58" s="606"/>
      <c r="DQ58" s="606"/>
      <c r="DR58" s="606"/>
      <c r="DS58" s="606"/>
      <c r="DT58" s="606"/>
      <c r="DU58" s="606"/>
      <c r="DV58" s="606"/>
      <c r="DW58" s="606"/>
      <c r="DX58" s="606"/>
    </row>
    <row r="59" spans="1:128" ht="15.75" customHeight="1" x14ac:dyDescent="0.25">
      <c r="A59" s="6"/>
      <c r="B59" s="15"/>
      <c r="C59" s="983" t="s">
        <v>43</v>
      </c>
      <c r="D59" s="1000"/>
      <c r="E59" s="984"/>
      <c r="F59" s="641">
        <v>0.83</v>
      </c>
      <c r="G59" s="983">
        <v>20</v>
      </c>
      <c r="H59" s="984"/>
      <c r="I59" s="27"/>
      <c r="J59" s="28"/>
      <c r="K59" s="651"/>
      <c r="L59" s="402"/>
      <c r="M59" s="296"/>
      <c r="N59" s="445"/>
      <c r="O59" s="445"/>
      <c r="P59" s="443"/>
      <c r="Q59" s="443"/>
      <c r="R59" s="443"/>
      <c r="S59" s="24"/>
      <c r="T59" s="443"/>
      <c r="U59" s="25"/>
      <c r="V59" s="424"/>
      <c r="W59" s="6"/>
      <c r="X59" s="471"/>
      <c r="Y59" s="471"/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471"/>
      <c r="AL59" s="471"/>
      <c r="AM59" s="471"/>
      <c r="AN59" s="471"/>
      <c r="AO59" s="471"/>
      <c r="AP59" s="471"/>
      <c r="AQ59" s="471"/>
      <c r="AR59" s="471"/>
      <c r="AS59" s="471"/>
      <c r="AT59" s="471"/>
      <c r="AU59" s="471"/>
      <c r="AV59" s="471"/>
      <c r="AW59" s="471"/>
      <c r="AX59" s="471"/>
      <c r="AY59" s="471"/>
      <c r="AZ59" s="471"/>
      <c r="BA59" s="471"/>
      <c r="BB59" s="471"/>
      <c r="BC59" s="471"/>
      <c r="BD59" s="471"/>
      <c r="BE59" s="471"/>
      <c r="BF59" s="471"/>
      <c r="BG59" s="471"/>
      <c r="BH59" s="471"/>
      <c r="BI59" s="471"/>
      <c r="BJ59" s="471"/>
      <c r="BK59" s="798"/>
      <c r="BL59" s="884"/>
      <c r="BM59" s="884"/>
      <c r="BN59" s="892"/>
      <c r="BO59" s="884"/>
      <c r="BP59" s="884"/>
      <c r="BQ59" s="884"/>
      <c r="BR59" s="884"/>
      <c r="BS59" s="884"/>
      <c r="BT59" s="884"/>
      <c r="BU59" s="884"/>
      <c r="BV59" s="826"/>
      <c r="BW59" s="865"/>
      <c r="BX59" s="865"/>
      <c r="BY59" s="865"/>
      <c r="BZ59" s="865"/>
      <c r="CA59" s="865"/>
      <c r="CB59" s="865"/>
      <c r="CC59" s="865"/>
      <c r="CD59" s="865"/>
      <c r="CE59" s="606"/>
      <c r="CF59" s="606"/>
      <c r="CG59" s="606"/>
      <c r="CH59" s="606"/>
      <c r="CI59" s="606"/>
      <c r="CJ59" s="606"/>
      <c r="CK59" s="606"/>
      <c r="CL59" s="606"/>
      <c r="CM59" s="606"/>
      <c r="CN59" s="606"/>
      <c r="CO59" s="606"/>
      <c r="CP59" s="606"/>
      <c r="CQ59" s="606"/>
      <c r="CR59" s="606"/>
      <c r="CS59" s="606"/>
      <c r="CT59" s="606"/>
      <c r="CU59" s="606"/>
      <c r="CV59" s="606"/>
      <c r="CW59" s="606"/>
      <c r="CX59" s="606"/>
      <c r="CY59" s="606"/>
      <c r="CZ59" s="606"/>
      <c r="DA59" s="606"/>
      <c r="DB59" s="606"/>
      <c r="DC59" s="606"/>
      <c r="DD59" s="606"/>
      <c r="DE59" s="606"/>
      <c r="DF59" s="606"/>
      <c r="DG59" s="606"/>
      <c r="DH59" s="606"/>
      <c r="DI59" s="606"/>
      <c r="DJ59" s="606"/>
      <c r="DK59" s="606"/>
      <c r="DL59" s="606"/>
      <c r="DM59" s="606"/>
      <c r="DN59" s="606"/>
      <c r="DO59" s="606"/>
      <c r="DP59" s="606"/>
      <c r="DQ59" s="606"/>
      <c r="DR59" s="606"/>
      <c r="DS59" s="606"/>
      <c r="DT59" s="606"/>
      <c r="DU59" s="606"/>
      <c r="DV59" s="606"/>
      <c r="DW59" s="606"/>
      <c r="DX59" s="606"/>
    </row>
    <row r="60" spans="1:128" ht="15.75" customHeight="1" x14ac:dyDescent="0.25">
      <c r="A60" s="6"/>
      <c r="B60" s="15"/>
      <c r="C60" s="983" t="s">
        <v>45</v>
      </c>
      <c r="D60" s="1000"/>
      <c r="E60" s="984"/>
      <c r="F60" s="641">
        <v>0.75</v>
      </c>
      <c r="G60" s="983">
        <v>18</v>
      </c>
      <c r="H60" s="984"/>
      <c r="I60" s="27"/>
      <c r="J60" s="28"/>
      <c r="K60" s="651"/>
      <c r="L60" s="402"/>
      <c r="M60" s="296" t="s">
        <v>48</v>
      </c>
      <c r="N60" s="375" t="s">
        <v>49</v>
      </c>
      <c r="O60" s="375"/>
      <c r="P60" s="443"/>
      <c r="Q60" s="443"/>
      <c r="R60" s="443"/>
      <c r="S60" s="296"/>
      <c r="T60" s="443"/>
      <c r="U60" s="383"/>
      <c r="V60" s="424"/>
      <c r="W60" s="6"/>
      <c r="X60" s="471"/>
      <c r="Y60" s="471"/>
      <c r="Z60" s="471"/>
      <c r="AA60" s="471"/>
      <c r="AB60" s="471"/>
      <c r="AC60" s="471"/>
      <c r="AD60" s="471"/>
      <c r="AE60" s="471"/>
      <c r="AF60" s="471"/>
      <c r="AG60" s="471"/>
      <c r="AH60" s="471"/>
      <c r="AI60" s="471"/>
      <c r="AJ60" s="471"/>
      <c r="AK60" s="471"/>
      <c r="AL60" s="471"/>
      <c r="AM60" s="471"/>
      <c r="AN60" s="471"/>
      <c r="AO60" s="471"/>
      <c r="AP60" s="471"/>
      <c r="AQ60" s="471"/>
      <c r="AR60" s="471"/>
      <c r="AS60" s="471"/>
      <c r="AT60" s="471"/>
      <c r="AU60" s="471"/>
      <c r="AV60" s="471"/>
      <c r="AW60" s="471"/>
      <c r="AX60" s="471"/>
      <c r="AY60" s="471"/>
      <c r="AZ60" s="471"/>
      <c r="BA60" s="471"/>
      <c r="BB60" s="471"/>
      <c r="BC60" s="471"/>
      <c r="BD60" s="471"/>
      <c r="BE60" s="471"/>
      <c r="BF60" s="471"/>
      <c r="BG60" s="471"/>
      <c r="BH60" s="471"/>
      <c r="BI60" s="471"/>
      <c r="BJ60" s="471"/>
      <c r="BK60" s="798"/>
      <c r="BL60" s="822"/>
      <c r="BM60" s="821"/>
      <c r="BN60" s="884"/>
      <c r="BO60" s="884"/>
      <c r="BP60" s="884"/>
      <c r="BQ60" s="884"/>
      <c r="BR60" s="884"/>
      <c r="BS60" s="884"/>
      <c r="BT60" s="884"/>
      <c r="BU60" s="884"/>
      <c r="BV60" s="826"/>
      <c r="BW60" s="865"/>
      <c r="BX60" s="865"/>
      <c r="BY60" s="865"/>
      <c r="BZ60" s="865"/>
      <c r="CA60" s="865"/>
      <c r="CB60" s="865"/>
      <c r="CC60" s="865"/>
      <c r="CD60" s="865"/>
      <c r="CE60" s="606"/>
      <c r="CF60" s="606"/>
      <c r="CG60" s="606"/>
      <c r="CH60" s="606"/>
      <c r="CI60" s="606"/>
      <c r="CJ60" s="606"/>
      <c r="CK60" s="606"/>
      <c r="CL60" s="606"/>
      <c r="CM60" s="606"/>
      <c r="CN60" s="606"/>
      <c r="CO60" s="606"/>
      <c r="CP60" s="606"/>
      <c r="CQ60" s="606"/>
      <c r="CR60" s="606"/>
      <c r="CS60" s="606"/>
      <c r="CT60" s="606"/>
      <c r="CU60" s="606"/>
      <c r="CV60" s="606"/>
      <c r="CW60" s="606"/>
      <c r="CX60" s="606"/>
      <c r="CY60" s="606"/>
      <c r="CZ60" s="606"/>
      <c r="DA60" s="606"/>
      <c r="DB60" s="606"/>
      <c r="DC60" s="606"/>
      <c r="DD60" s="606"/>
      <c r="DE60" s="606"/>
      <c r="DF60" s="606"/>
      <c r="DG60" s="606"/>
      <c r="DH60" s="606"/>
      <c r="DI60" s="606"/>
      <c r="DJ60" s="606"/>
      <c r="DK60" s="606"/>
      <c r="DL60" s="606"/>
      <c r="DM60" s="606"/>
      <c r="DN60" s="606"/>
      <c r="DO60" s="606"/>
      <c r="DP60" s="606"/>
      <c r="DQ60" s="606"/>
      <c r="DR60" s="606"/>
      <c r="DS60" s="606"/>
      <c r="DT60" s="606"/>
      <c r="DU60" s="606"/>
      <c r="DV60" s="606"/>
      <c r="DW60" s="606"/>
      <c r="DX60" s="606"/>
    </row>
    <row r="61" spans="1:128" ht="15.75" customHeight="1" x14ac:dyDescent="0.25">
      <c r="A61" s="6"/>
      <c r="B61" s="15"/>
      <c r="C61" s="983" t="s">
        <v>46</v>
      </c>
      <c r="D61" s="1000"/>
      <c r="E61" s="984"/>
      <c r="F61" s="641">
        <v>0.67</v>
      </c>
      <c r="G61" s="983">
        <v>16</v>
      </c>
      <c r="H61" s="984"/>
      <c r="I61" s="27"/>
      <c r="J61" s="28"/>
      <c r="K61" s="651"/>
      <c r="L61" s="402"/>
      <c r="M61" s="296"/>
      <c r="N61" s="445" t="s">
        <v>50</v>
      </c>
      <c r="O61" s="445"/>
      <c r="P61" s="443"/>
      <c r="Q61" s="443"/>
      <c r="R61" s="443"/>
      <c r="S61" s="296"/>
      <c r="T61" s="443"/>
      <c r="U61" s="383"/>
      <c r="V61" s="424"/>
      <c r="W61" s="6"/>
      <c r="X61" s="471"/>
      <c r="Y61" s="471"/>
      <c r="Z61" s="471"/>
      <c r="AA61" s="471"/>
      <c r="AB61" s="471"/>
      <c r="AC61" s="471"/>
      <c r="AD61" s="471"/>
      <c r="AE61" s="471"/>
      <c r="AF61" s="471"/>
      <c r="AG61" s="471"/>
      <c r="AH61" s="471"/>
      <c r="AI61" s="471"/>
      <c r="AJ61" s="471"/>
      <c r="AK61" s="471"/>
      <c r="AL61" s="471"/>
      <c r="AM61" s="471"/>
      <c r="AN61" s="471"/>
      <c r="AO61" s="471"/>
      <c r="AP61" s="471"/>
      <c r="AQ61" s="471"/>
      <c r="AR61" s="471"/>
      <c r="AS61" s="471"/>
      <c r="AT61" s="471"/>
      <c r="AU61" s="471"/>
      <c r="AV61" s="471"/>
      <c r="AW61" s="471"/>
      <c r="AX61" s="471"/>
      <c r="AY61" s="471"/>
      <c r="AZ61" s="471"/>
      <c r="BA61" s="471"/>
      <c r="BB61" s="471"/>
      <c r="BC61" s="471"/>
      <c r="BD61" s="471"/>
      <c r="BE61" s="471"/>
      <c r="BF61" s="471"/>
      <c r="BG61" s="471"/>
      <c r="BH61" s="471"/>
      <c r="BI61" s="471"/>
      <c r="BJ61" s="471"/>
      <c r="BK61" s="801"/>
      <c r="BL61" s="822"/>
      <c r="BM61" s="821"/>
      <c r="BN61" s="884"/>
      <c r="BO61" s="857"/>
      <c r="BP61" s="857"/>
      <c r="BQ61" s="857"/>
      <c r="BR61" s="857"/>
      <c r="BS61" s="857"/>
      <c r="BT61" s="857"/>
      <c r="BU61" s="857"/>
      <c r="BV61" s="884"/>
      <c r="BW61" s="857"/>
      <c r="BX61" s="857"/>
      <c r="BY61" s="857"/>
      <c r="BZ61" s="857"/>
      <c r="CA61" s="865"/>
      <c r="CB61" s="865"/>
      <c r="CC61" s="865"/>
      <c r="CD61" s="865"/>
      <c r="CE61" s="606"/>
      <c r="CF61" s="799"/>
      <c r="CG61" s="799"/>
      <c r="CH61" s="799"/>
      <c r="CI61" s="799"/>
      <c r="CJ61" s="799"/>
      <c r="CK61" s="799"/>
      <c r="CL61" s="799"/>
      <c r="CM61" s="799"/>
      <c r="CN61" s="799"/>
      <c r="CO61" s="799"/>
      <c r="CP61" s="799"/>
      <c r="CQ61" s="799"/>
      <c r="CR61" s="799"/>
      <c r="CS61" s="799"/>
      <c r="CT61" s="799"/>
      <c r="CU61" s="799"/>
      <c r="CV61" s="799"/>
      <c r="CW61" s="799"/>
      <c r="CX61" s="799"/>
      <c r="CY61" s="799"/>
      <c r="CZ61" s="799"/>
      <c r="DA61" s="799"/>
      <c r="DB61" s="799"/>
      <c r="DC61" s="799"/>
      <c r="DD61" s="799"/>
      <c r="DE61" s="799"/>
      <c r="DF61" s="799"/>
      <c r="DG61" s="799"/>
      <c r="DH61" s="799"/>
      <c r="DI61" s="799"/>
      <c r="DJ61" s="799"/>
      <c r="DK61" s="799"/>
      <c r="DL61" s="799"/>
      <c r="DM61" s="799"/>
      <c r="DN61" s="799"/>
      <c r="DO61" s="799"/>
      <c r="DP61" s="799"/>
      <c r="DQ61" s="799"/>
      <c r="DR61" s="799"/>
      <c r="DS61" s="799"/>
      <c r="DT61" s="799"/>
      <c r="DU61" s="799"/>
      <c r="DV61" s="799"/>
      <c r="DW61" s="799"/>
      <c r="DX61" s="799"/>
    </row>
    <row r="62" spans="1:128" ht="15.75" customHeight="1" x14ac:dyDescent="0.25">
      <c r="A62" s="6"/>
      <c r="B62" s="15"/>
      <c r="C62" s="983" t="s">
        <v>47</v>
      </c>
      <c r="D62" s="1000"/>
      <c r="E62" s="984"/>
      <c r="F62" s="641">
        <v>0.57999999999999996</v>
      </c>
      <c r="G62" s="983">
        <v>14</v>
      </c>
      <c r="H62" s="984"/>
      <c r="I62" s="27"/>
      <c r="J62" s="28"/>
      <c r="K62" s="650"/>
      <c r="L62" s="402"/>
      <c r="M62" s="296"/>
      <c r="N62" s="445"/>
      <c r="O62" s="445" t="s">
        <v>336</v>
      </c>
      <c r="P62" s="443"/>
      <c r="Q62" s="443"/>
      <c r="R62" s="443"/>
      <c r="S62" s="296"/>
      <c r="T62" s="443"/>
      <c r="U62" s="443"/>
      <c r="V62" s="424"/>
      <c r="W62" s="6"/>
      <c r="X62" s="471"/>
      <c r="Y62" s="471"/>
      <c r="Z62" s="471"/>
      <c r="AA62" s="471"/>
      <c r="AB62" s="471"/>
      <c r="AC62" s="471"/>
      <c r="AD62" s="471"/>
      <c r="AE62" s="471"/>
      <c r="AF62" s="471"/>
      <c r="AG62" s="471"/>
      <c r="AH62" s="471"/>
      <c r="AI62" s="471"/>
      <c r="AJ62" s="471"/>
      <c r="AK62" s="471"/>
      <c r="AL62" s="471"/>
      <c r="AM62" s="471"/>
      <c r="AN62" s="471"/>
      <c r="AO62" s="471"/>
      <c r="AP62" s="471"/>
      <c r="AQ62" s="471"/>
      <c r="AR62" s="471"/>
      <c r="AS62" s="471"/>
      <c r="AT62" s="471"/>
      <c r="AU62" s="471"/>
      <c r="AV62" s="471"/>
      <c r="AW62" s="471"/>
      <c r="AX62" s="471"/>
      <c r="AY62" s="471"/>
      <c r="AZ62" s="471"/>
      <c r="BA62" s="471"/>
      <c r="BB62" s="471"/>
      <c r="BC62" s="471"/>
      <c r="BD62" s="471"/>
      <c r="BE62" s="471"/>
      <c r="BF62" s="471"/>
      <c r="BG62" s="471"/>
      <c r="BH62" s="471"/>
      <c r="BI62" s="471"/>
      <c r="BJ62" s="471"/>
      <c r="BK62" s="798"/>
      <c r="BL62" s="884"/>
      <c r="BM62" s="884"/>
      <c r="BN62" s="884"/>
      <c r="BO62" s="884"/>
      <c r="BP62" s="884"/>
      <c r="BQ62" s="884"/>
      <c r="BR62" s="884"/>
      <c r="BS62" s="884"/>
      <c r="BT62" s="884"/>
      <c r="BU62" s="884"/>
      <c r="BV62" s="857"/>
      <c r="BW62" s="865"/>
      <c r="BX62" s="865"/>
      <c r="BY62" s="865"/>
      <c r="BZ62" s="865"/>
      <c r="CA62" s="865"/>
      <c r="CB62" s="865"/>
      <c r="CC62" s="865"/>
      <c r="CD62" s="865"/>
      <c r="CE62" s="606"/>
      <c r="CF62" s="606"/>
      <c r="CG62" s="606"/>
      <c r="CH62" s="606"/>
      <c r="CI62" s="606"/>
      <c r="CJ62" s="606"/>
      <c r="CK62" s="606"/>
      <c r="CL62" s="606"/>
      <c r="CM62" s="606"/>
      <c r="CN62" s="606"/>
      <c r="CO62" s="606"/>
      <c r="CP62" s="606"/>
      <c r="CQ62" s="606"/>
      <c r="CR62" s="606"/>
      <c r="CS62" s="606"/>
      <c r="CT62" s="606"/>
      <c r="CU62" s="606"/>
      <c r="CV62" s="606"/>
      <c r="CW62" s="606"/>
      <c r="CX62" s="606"/>
      <c r="CY62" s="606"/>
      <c r="CZ62" s="606"/>
      <c r="DA62" s="606"/>
      <c r="DB62" s="606"/>
      <c r="DC62" s="606"/>
      <c r="DD62" s="606"/>
      <c r="DE62" s="606"/>
      <c r="DF62" s="606"/>
      <c r="DG62" s="606"/>
      <c r="DH62" s="606"/>
      <c r="DI62" s="606"/>
      <c r="DJ62" s="606"/>
      <c r="DK62" s="606"/>
      <c r="DL62" s="606"/>
      <c r="DM62" s="606"/>
      <c r="DN62" s="606"/>
      <c r="DO62" s="606"/>
      <c r="DP62" s="606"/>
      <c r="DQ62" s="606"/>
      <c r="DR62" s="606"/>
      <c r="DS62" s="606"/>
      <c r="DT62" s="606"/>
      <c r="DU62" s="606"/>
      <c r="DV62" s="606"/>
      <c r="DW62" s="606"/>
      <c r="DX62" s="606"/>
    </row>
    <row r="63" spans="1:128" ht="18.75" customHeight="1" thickBot="1" x14ac:dyDescent="0.3">
      <c r="A63" s="1"/>
      <c r="B63" s="15"/>
      <c r="C63" s="985" t="s">
        <v>390</v>
      </c>
      <c r="D63" s="998"/>
      <c r="E63" s="986"/>
      <c r="F63" s="725">
        <v>0.5</v>
      </c>
      <c r="G63" s="985">
        <v>12</v>
      </c>
      <c r="H63" s="986"/>
      <c r="I63" s="18"/>
      <c r="J63" s="28"/>
      <c r="K63" s="650"/>
      <c r="L63" s="402"/>
      <c r="M63" s="296"/>
      <c r="N63" s="445"/>
      <c r="O63" s="445"/>
      <c r="P63" s="443"/>
      <c r="Q63" s="443"/>
      <c r="R63" s="443"/>
      <c r="S63" s="296"/>
      <c r="T63" s="443"/>
      <c r="U63" s="443"/>
      <c r="V63" s="424"/>
      <c r="W63" s="6"/>
      <c r="X63" s="471"/>
      <c r="Y63" s="471"/>
      <c r="Z63" s="471"/>
      <c r="AA63" s="471"/>
      <c r="AB63" s="471"/>
      <c r="AC63" s="471"/>
      <c r="AD63" s="471"/>
      <c r="AE63" s="471"/>
      <c r="AF63" s="471"/>
      <c r="AG63" s="471"/>
      <c r="AH63" s="471"/>
      <c r="AI63" s="471"/>
      <c r="AJ63" s="471"/>
      <c r="AK63" s="471"/>
      <c r="AL63" s="471"/>
      <c r="AM63" s="471"/>
      <c r="AN63" s="471"/>
      <c r="AO63" s="471"/>
      <c r="AP63" s="471"/>
      <c r="AQ63" s="471"/>
      <c r="AR63" s="471"/>
      <c r="AS63" s="471"/>
      <c r="AT63" s="471"/>
      <c r="AU63" s="471"/>
      <c r="AV63" s="471"/>
      <c r="AW63" s="471"/>
      <c r="AX63" s="471"/>
      <c r="AY63" s="471"/>
      <c r="AZ63" s="471"/>
      <c r="BA63" s="471"/>
      <c r="BB63" s="471"/>
      <c r="BC63" s="471"/>
      <c r="BD63" s="471"/>
      <c r="BE63" s="471"/>
      <c r="BF63" s="471"/>
      <c r="BG63" s="471"/>
      <c r="BH63" s="471"/>
      <c r="BI63" s="471"/>
      <c r="BJ63" s="471"/>
      <c r="BK63" s="798"/>
      <c r="BL63" s="881"/>
      <c r="BM63" s="884"/>
      <c r="BN63" s="884"/>
      <c r="BO63" s="884"/>
      <c r="BP63" s="884"/>
      <c r="BQ63" s="884"/>
      <c r="BR63" s="884"/>
      <c r="BS63" s="884"/>
      <c r="BT63" s="884"/>
      <c r="BU63" s="884"/>
      <c r="BV63" s="826"/>
      <c r="BW63" s="865"/>
      <c r="BX63" s="821"/>
      <c r="BY63" s="821"/>
      <c r="BZ63" s="821"/>
      <c r="CA63" s="821"/>
      <c r="CB63" s="821"/>
      <c r="CC63" s="821"/>
      <c r="CD63" s="821"/>
      <c r="CM63" s="606"/>
      <c r="CN63" s="606"/>
      <c r="CO63" s="606"/>
      <c r="CP63" s="606"/>
      <c r="CQ63" s="606"/>
      <c r="CR63" s="606"/>
      <c r="CS63" s="606"/>
      <c r="CT63" s="606"/>
      <c r="CU63" s="606"/>
      <c r="CV63" s="606"/>
      <c r="CW63" s="606"/>
      <c r="CX63" s="606"/>
      <c r="CY63" s="606"/>
      <c r="CZ63" s="606"/>
      <c r="DA63" s="606"/>
      <c r="DB63" s="606"/>
      <c r="DC63" s="606"/>
      <c r="DD63" s="606"/>
      <c r="DE63" s="606"/>
      <c r="DF63" s="606"/>
      <c r="DG63" s="606"/>
      <c r="DH63" s="606"/>
      <c r="DI63" s="606"/>
      <c r="DJ63" s="606"/>
      <c r="DK63" s="606"/>
      <c r="DL63" s="606"/>
      <c r="DM63" s="606"/>
      <c r="DN63" s="606"/>
      <c r="DO63" s="606"/>
      <c r="DP63" s="606"/>
      <c r="DQ63" s="606"/>
      <c r="DR63" s="606"/>
      <c r="DS63" s="606"/>
      <c r="DT63" s="606"/>
      <c r="DU63" s="606"/>
      <c r="DV63" s="606"/>
      <c r="DW63" s="606"/>
      <c r="DX63" s="606"/>
    </row>
    <row r="64" spans="1:128" ht="15.75" customHeight="1" thickBot="1" x14ac:dyDescent="0.3">
      <c r="A64" s="6"/>
      <c r="B64" s="15"/>
      <c r="C64" s="514"/>
      <c r="D64" s="17"/>
      <c r="E64" s="16"/>
      <c r="F64" s="36"/>
      <c r="G64" s="36"/>
      <c r="H64" s="17"/>
      <c r="I64" s="27"/>
      <c r="J64" s="40"/>
      <c r="K64" s="651"/>
      <c r="L64" s="402"/>
      <c r="M64" s="296"/>
      <c r="N64" s="445"/>
      <c r="O64" s="445"/>
      <c r="P64" s="443"/>
      <c r="Q64" s="443"/>
      <c r="R64" s="443"/>
      <c r="S64" s="296"/>
      <c r="T64" s="443"/>
      <c r="U64" s="443"/>
      <c r="V64" s="424"/>
      <c r="W64" s="6"/>
      <c r="X64" s="471"/>
      <c r="Y64" s="471"/>
      <c r="Z64" s="471"/>
      <c r="AA64" s="471"/>
      <c r="AB64" s="471"/>
      <c r="AC64" s="471"/>
      <c r="AD64" s="471"/>
      <c r="AE64" s="471"/>
      <c r="AF64" s="471"/>
      <c r="AG64" s="471"/>
      <c r="AH64" s="471"/>
      <c r="AI64" s="471"/>
      <c r="AJ64" s="471"/>
      <c r="AK64" s="471"/>
      <c r="AL64" s="471"/>
      <c r="AM64" s="471"/>
      <c r="AN64" s="471"/>
      <c r="AO64" s="471"/>
      <c r="AP64" s="471"/>
      <c r="AQ64" s="471"/>
      <c r="AR64" s="471"/>
      <c r="AS64" s="471"/>
      <c r="AT64" s="471"/>
      <c r="AU64" s="471"/>
      <c r="AV64" s="471"/>
      <c r="AW64" s="471"/>
      <c r="AX64" s="471"/>
      <c r="AY64" s="471"/>
      <c r="AZ64" s="471"/>
      <c r="BA64" s="471"/>
      <c r="BB64" s="471"/>
      <c r="BC64" s="471"/>
      <c r="BD64" s="471"/>
      <c r="BE64" s="471"/>
      <c r="BF64" s="471"/>
      <c r="BG64" s="471"/>
      <c r="BH64" s="471"/>
      <c r="BI64" s="471"/>
      <c r="BJ64" s="471"/>
      <c r="BK64" s="798"/>
      <c r="BL64" s="881"/>
      <c r="BM64" s="884"/>
      <c r="BN64" s="884"/>
      <c r="BO64" s="884"/>
      <c r="BP64" s="884"/>
      <c r="BQ64" s="884"/>
      <c r="BR64" s="884"/>
      <c r="BS64" s="884"/>
      <c r="BT64" s="884"/>
      <c r="BU64" s="884"/>
      <c r="BV64" s="826"/>
      <c r="BW64" s="865"/>
      <c r="BX64" s="821"/>
      <c r="BY64" s="821"/>
      <c r="BZ64" s="821"/>
      <c r="CA64" s="821"/>
      <c r="CB64" s="821"/>
      <c r="CC64" s="821"/>
      <c r="CD64" s="821"/>
      <c r="CM64" s="606"/>
      <c r="CN64" s="606"/>
      <c r="CO64" s="606"/>
      <c r="CP64" s="606"/>
      <c r="CQ64" s="606"/>
      <c r="CR64" s="606"/>
      <c r="CS64" s="606"/>
      <c r="CT64" s="606"/>
      <c r="CU64" s="606"/>
      <c r="CV64" s="606"/>
      <c r="CW64" s="606"/>
      <c r="CX64" s="606"/>
      <c r="CY64" s="606"/>
      <c r="CZ64" s="606"/>
      <c r="DA64" s="606"/>
      <c r="DB64" s="606"/>
      <c r="DC64" s="606"/>
      <c r="DD64" s="606"/>
      <c r="DE64" s="606"/>
      <c r="DF64" s="606"/>
      <c r="DG64" s="606"/>
      <c r="DH64" s="606"/>
      <c r="DI64" s="606"/>
      <c r="DJ64" s="606"/>
      <c r="DK64" s="606"/>
      <c r="DL64" s="606"/>
      <c r="DM64" s="606"/>
      <c r="DN64" s="606"/>
      <c r="DO64" s="606"/>
      <c r="DP64" s="606"/>
      <c r="DQ64" s="606"/>
      <c r="DR64" s="606"/>
      <c r="DS64" s="606"/>
      <c r="DT64" s="606"/>
      <c r="DU64" s="606"/>
      <c r="DV64" s="606"/>
      <c r="DW64" s="606"/>
      <c r="DX64" s="606"/>
    </row>
    <row r="65" spans="1:128" ht="15.75" customHeight="1" thickBot="1" x14ac:dyDescent="0.3">
      <c r="A65" s="6"/>
      <c r="B65" s="673"/>
      <c r="C65" s="675" t="s">
        <v>264</v>
      </c>
      <c r="D65" s="17"/>
      <c r="E65" s="38"/>
      <c r="F65" s="38"/>
      <c r="G65" s="38"/>
      <c r="H65" s="17"/>
      <c r="I65" s="39"/>
      <c r="J65" s="42"/>
      <c r="K65" s="652"/>
      <c r="L65" s="402"/>
      <c r="M65" s="296"/>
      <c r="N65" s="445"/>
      <c r="O65" s="1022" t="s">
        <v>55</v>
      </c>
      <c r="P65" s="1023"/>
      <c r="Q65" s="1024"/>
      <c r="R65" s="597" t="s">
        <v>56</v>
      </c>
      <c r="S65" s="597"/>
      <c r="T65" s="296"/>
      <c r="U65" s="443"/>
      <c r="V65" s="424"/>
      <c r="W65" s="34"/>
      <c r="X65" s="471"/>
      <c r="Y65" s="471"/>
      <c r="Z65" s="471"/>
      <c r="AA65" s="471"/>
      <c r="AB65" s="471"/>
      <c r="AC65" s="471"/>
      <c r="AD65" s="471"/>
      <c r="AE65" s="471"/>
      <c r="AF65" s="471"/>
      <c r="AG65" s="471"/>
      <c r="AH65" s="471"/>
      <c r="AI65" s="471"/>
      <c r="AJ65" s="471"/>
      <c r="AK65" s="471"/>
      <c r="AL65" s="471"/>
      <c r="AM65" s="471"/>
      <c r="AN65" s="471"/>
      <c r="AO65" s="471"/>
      <c r="AP65" s="471"/>
      <c r="AQ65" s="471"/>
      <c r="AR65" s="471"/>
      <c r="AS65" s="471"/>
      <c r="AT65" s="471"/>
      <c r="AU65" s="471"/>
      <c r="AV65" s="471"/>
      <c r="AW65" s="471"/>
      <c r="AX65" s="471"/>
      <c r="AY65" s="471"/>
      <c r="AZ65" s="471"/>
      <c r="BA65" s="471"/>
      <c r="BB65" s="471"/>
      <c r="BC65" s="471"/>
      <c r="BD65" s="471"/>
      <c r="BE65" s="471"/>
      <c r="BF65" s="471"/>
      <c r="BG65" s="471"/>
      <c r="BH65" s="471"/>
      <c r="BI65" s="471"/>
      <c r="BJ65" s="471"/>
      <c r="BK65" s="798"/>
      <c r="BL65" s="881"/>
      <c r="BM65" s="893"/>
      <c r="BN65" s="881"/>
      <c r="BO65" s="1008"/>
      <c r="BP65" s="1008"/>
      <c r="BQ65" s="1008"/>
      <c r="BR65" s="884"/>
      <c r="BS65" s="884"/>
      <c r="BT65" s="884"/>
      <c r="BU65" s="884"/>
      <c r="BV65" s="826"/>
      <c r="BW65" s="894"/>
      <c r="BX65" s="821"/>
      <c r="BY65" s="821"/>
      <c r="BZ65" s="821"/>
      <c r="CA65" s="821"/>
      <c r="CB65" s="821"/>
      <c r="CC65" s="821"/>
      <c r="CD65" s="821"/>
      <c r="CM65" s="606"/>
      <c r="CN65" s="606"/>
      <c r="CO65" s="606"/>
      <c r="CP65" s="606"/>
      <c r="CQ65" s="606"/>
      <c r="CR65" s="606"/>
      <c r="CS65" s="606"/>
      <c r="CT65" s="606"/>
      <c r="CU65" s="606"/>
      <c r="CV65" s="606"/>
      <c r="CW65" s="606"/>
      <c r="CX65" s="606"/>
      <c r="CY65" s="606"/>
      <c r="CZ65" s="606"/>
      <c r="DA65" s="606"/>
      <c r="DB65" s="606"/>
      <c r="DC65" s="606"/>
      <c r="DD65" s="606"/>
      <c r="DE65" s="606"/>
      <c r="DF65" s="606"/>
      <c r="DG65" s="606"/>
      <c r="DH65" s="606"/>
      <c r="DI65" s="606"/>
      <c r="DJ65" s="606"/>
      <c r="DK65" s="606"/>
      <c r="DL65" s="606"/>
      <c r="DM65" s="606"/>
      <c r="DN65" s="606"/>
      <c r="DO65" s="606"/>
      <c r="DP65" s="606"/>
      <c r="DQ65" s="606"/>
      <c r="DR65" s="606"/>
      <c r="DS65" s="606"/>
      <c r="DT65" s="606"/>
      <c r="DU65" s="606"/>
      <c r="DV65" s="606"/>
      <c r="DW65" s="606"/>
      <c r="DX65" s="606"/>
    </row>
    <row r="66" spans="1:128" ht="15.75" customHeight="1" thickBot="1" x14ac:dyDescent="0.3">
      <c r="A66" s="6"/>
      <c r="B66" s="37"/>
      <c r="C66" s="514"/>
      <c r="D66" s="16" t="s">
        <v>374</v>
      </c>
      <c r="E66" s="38"/>
      <c r="F66" s="38"/>
      <c r="G66" s="38"/>
      <c r="H66" s="17"/>
      <c r="I66" s="39"/>
      <c r="J66" s="42"/>
      <c r="K66" s="653"/>
      <c r="L66" s="402"/>
      <c r="M66" s="296"/>
      <c r="N66" s="445"/>
      <c r="O66" s="1025" t="s">
        <v>184</v>
      </c>
      <c r="P66" s="1026"/>
      <c r="Q66" s="1027"/>
      <c r="R66" s="1031" t="s">
        <v>323</v>
      </c>
      <c r="S66" s="1032"/>
      <c r="T66" s="296"/>
      <c r="U66" s="23">
        <f>IF(O67=1,65,IF(O67=2,105,IF(O67=3,145,IF(O67=4,185,225))))</f>
        <v>105</v>
      </c>
      <c r="V66" s="424"/>
      <c r="W66" s="34"/>
      <c r="X66" s="471"/>
      <c r="Y66" s="471"/>
      <c r="Z66" s="471"/>
      <c r="AA66" s="471"/>
      <c r="AB66" s="471"/>
      <c r="AC66" s="471"/>
      <c r="AD66" s="471"/>
      <c r="AE66" s="471"/>
      <c r="AF66" s="471"/>
      <c r="AG66" s="471"/>
      <c r="AH66" s="471"/>
      <c r="AI66" s="471"/>
      <c r="AJ66" s="471"/>
      <c r="AK66" s="471"/>
      <c r="AL66" s="471"/>
      <c r="AM66" s="471"/>
      <c r="AN66" s="471"/>
      <c r="AO66" s="471"/>
      <c r="AP66" s="471"/>
      <c r="AQ66" s="471"/>
      <c r="AR66" s="471"/>
      <c r="AS66" s="471"/>
      <c r="AT66" s="471"/>
      <c r="AU66" s="471"/>
      <c r="AV66" s="471"/>
      <c r="AW66" s="471"/>
      <c r="AX66" s="471"/>
      <c r="AY66" s="471"/>
      <c r="AZ66" s="471"/>
      <c r="BA66" s="471"/>
      <c r="BB66" s="471"/>
      <c r="BC66" s="471"/>
      <c r="BD66" s="471"/>
      <c r="BE66" s="471"/>
      <c r="BF66" s="471"/>
      <c r="BG66" s="471"/>
      <c r="BH66" s="471"/>
      <c r="BI66" s="471"/>
      <c r="BJ66" s="471"/>
      <c r="BK66" s="798"/>
      <c r="BL66" s="880"/>
      <c r="BM66" s="881"/>
      <c r="BN66" s="881"/>
      <c r="BO66" s="884"/>
      <c r="BP66" s="884">
        <f>1000+BT82*((BS82*BV82)+(BW82*BU82))</f>
        <v>2325</v>
      </c>
      <c r="BQ66" s="884"/>
      <c r="BR66" s="884"/>
      <c r="BS66" s="884"/>
      <c r="BT66" s="884"/>
      <c r="BU66" s="884"/>
      <c r="BV66" s="894"/>
      <c r="BW66" s="865"/>
      <c r="BX66" s="821"/>
      <c r="BY66" s="821"/>
      <c r="BZ66" s="821"/>
      <c r="CA66" s="821"/>
      <c r="CB66" s="821"/>
      <c r="CC66" s="821"/>
      <c r="CD66" s="821"/>
      <c r="CM66" s="606"/>
      <c r="CN66" s="606"/>
      <c r="CO66" s="606"/>
      <c r="CP66" s="606"/>
      <c r="CQ66" s="606"/>
      <c r="CR66" s="606"/>
      <c r="CS66" s="606"/>
      <c r="CT66" s="606"/>
      <c r="CU66" s="606"/>
      <c r="CV66" s="606"/>
      <c r="CW66" s="606"/>
      <c r="CX66" s="606"/>
      <c r="CY66" s="606"/>
      <c r="CZ66" s="606"/>
      <c r="DA66" s="606"/>
      <c r="DB66" s="606"/>
      <c r="DC66" s="606"/>
      <c r="DD66" s="606"/>
      <c r="DE66" s="606"/>
      <c r="DF66" s="606"/>
      <c r="DG66" s="606"/>
      <c r="DH66" s="606"/>
      <c r="DI66" s="606"/>
      <c r="DJ66" s="606"/>
      <c r="DK66" s="606"/>
      <c r="DL66" s="606"/>
      <c r="DM66" s="606"/>
      <c r="DN66" s="606"/>
      <c r="DO66" s="606"/>
      <c r="DP66" s="606"/>
      <c r="DQ66" s="606"/>
      <c r="DR66" s="606"/>
      <c r="DS66" s="606"/>
      <c r="DT66" s="606"/>
      <c r="DU66" s="606"/>
      <c r="DV66" s="606"/>
      <c r="DW66" s="606"/>
      <c r="DX66" s="606"/>
    </row>
    <row r="67" spans="1:128" ht="15.75" customHeight="1" thickBot="1" x14ac:dyDescent="0.3">
      <c r="A67" s="6"/>
      <c r="B67" s="15"/>
      <c r="C67" s="514"/>
      <c r="D67" s="17"/>
      <c r="E67" s="17"/>
      <c r="F67" s="17"/>
      <c r="G67" s="17"/>
      <c r="H67" s="17"/>
      <c r="I67" s="41"/>
      <c r="J67" s="20"/>
      <c r="K67" s="422" t="s">
        <v>379</v>
      </c>
      <c r="L67" s="518" t="s">
        <v>55</v>
      </c>
      <c r="M67" s="646"/>
      <c r="N67" s="597"/>
      <c r="O67" s="1028">
        <v>2</v>
      </c>
      <c r="P67" s="1029"/>
      <c r="Q67" s="1030"/>
      <c r="R67" s="443"/>
      <c r="S67" s="296"/>
      <c r="T67" s="443"/>
      <c r="U67" s="443"/>
      <c r="V67" s="424"/>
      <c r="W67" s="6"/>
      <c r="X67" s="471"/>
      <c r="Y67" s="471"/>
      <c r="Z67" s="471"/>
      <c r="AA67" s="471"/>
      <c r="AB67" s="471"/>
      <c r="AC67" s="471"/>
      <c r="AD67" s="471"/>
      <c r="AE67" s="471"/>
      <c r="AF67" s="471"/>
      <c r="AG67" s="471"/>
      <c r="AH67" s="471"/>
      <c r="AI67" s="471"/>
      <c r="AJ67" s="471"/>
      <c r="AK67" s="471"/>
      <c r="AL67" s="471"/>
      <c r="AM67" s="471"/>
      <c r="AN67" s="471"/>
      <c r="AO67" s="471"/>
      <c r="AP67" s="471"/>
      <c r="AQ67" s="471"/>
      <c r="AR67" s="471"/>
      <c r="AS67" s="471"/>
      <c r="AT67" s="471"/>
      <c r="AU67" s="471"/>
      <c r="AV67" s="471"/>
      <c r="AW67" s="471"/>
      <c r="AX67" s="471"/>
      <c r="AY67" s="471"/>
      <c r="AZ67" s="471"/>
      <c r="BA67" s="471"/>
      <c r="BB67" s="471"/>
      <c r="BC67" s="471"/>
      <c r="BD67" s="471"/>
      <c r="BE67" s="471"/>
      <c r="BF67" s="471"/>
      <c r="BG67" s="471"/>
      <c r="BH67" s="471"/>
      <c r="BI67" s="471"/>
      <c r="BJ67" s="471"/>
      <c r="BK67" s="798"/>
      <c r="BL67" s="880"/>
      <c r="BM67" s="881"/>
      <c r="BN67" s="881"/>
      <c r="BO67" s="893"/>
      <c r="BP67" s="884"/>
      <c r="BQ67" s="884"/>
      <c r="BR67" s="884"/>
      <c r="BS67" s="884"/>
      <c r="BT67" s="884"/>
      <c r="BU67" s="884"/>
      <c r="BV67" s="865"/>
      <c r="BW67" s="865"/>
      <c r="BX67" s="821"/>
      <c r="BY67" s="821"/>
      <c r="BZ67" s="821"/>
      <c r="CA67" s="821"/>
      <c r="CB67" s="821"/>
      <c r="CC67" s="821"/>
      <c r="CD67" s="821"/>
      <c r="CM67" s="606"/>
      <c r="CN67" s="606"/>
      <c r="CO67" s="606"/>
      <c r="CP67" s="606"/>
      <c r="CQ67" s="606"/>
      <c r="CR67" s="606"/>
      <c r="CS67" s="606"/>
      <c r="CT67" s="606"/>
      <c r="CU67" s="606"/>
      <c r="CV67" s="606"/>
      <c r="CW67" s="606"/>
      <c r="CX67" s="606"/>
      <c r="CY67" s="606"/>
      <c r="CZ67" s="606"/>
      <c r="DA67" s="606"/>
      <c r="DB67" s="606"/>
      <c r="DC67" s="606"/>
      <c r="DD67" s="606"/>
      <c r="DE67" s="606"/>
      <c r="DF67" s="606"/>
      <c r="DG67" s="606"/>
      <c r="DH67" s="606"/>
      <c r="DI67" s="606"/>
      <c r="DJ67" s="606"/>
      <c r="DK67" s="606"/>
      <c r="DL67" s="606"/>
      <c r="DM67" s="606"/>
      <c r="DN67" s="606"/>
      <c r="DO67" s="606"/>
      <c r="DP67" s="606"/>
      <c r="DQ67" s="606"/>
      <c r="DR67" s="606"/>
      <c r="DS67" s="606"/>
      <c r="DT67" s="606"/>
      <c r="DU67" s="606"/>
      <c r="DV67" s="606"/>
      <c r="DW67" s="606"/>
      <c r="DX67" s="606"/>
    </row>
    <row r="68" spans="1:128" ht="15.75" customHeight="1" thickBot="1" x14ac:dyDescent="0.3">
      <c r="A68" s="6"/>
      <c r="B68" s="15"/>
      <c r="C68" s="987" t="s">
        <v>51</v>
      </c>
      <c r="D68" s="988"/>
      <c r="E68" s="987" t="s">
        <v>268</v>
      </c>
      <c r="F68" s="988"/>
      <c r="G68" s="988"/>
      <c r="H68" s="989"/>
      <c r="I68" s="19"/>
      <c r="J68" s="44"/>
      <c r="K68" s="651"/>
      <c r="L68" s="402"/>
      <c r="M68" s="296"/>
      <c r="N68" s="597"/>
      <c r="O68" s="443"/>
      <c r="P68" s="456"/>
      <c r="Q68" s="456"/>
      <c r="R68" s="443"/>
      <c r="S68" s="296"/>
      <c r="T68" s="443"/>
      <c r="U68" s="443"/>
      <c r="V68" s="424"/>
      <c r="W68" s="6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798"/>
      <c r="BL68" s="880"/>
      <c r="BM68" s="881"/>
      <c r="BN68" s="880"/>
      <c r="BO68" s="893"/>
      <c r="BP68" s="884"/>
      <c r="BQ68" s="884"/>
      <c r="BR68" s="884"/>
      <c r="BS68" s="884"/>
      <c r="BT68" s="884"/>
      <c r="BU68" s="884"/>
      <c r="BV68" s="865"/>
      <c r="BW68" s="865"/>
      <c r="BX68" s="821"/>
      <c r="BY68" s="821"/>
      <c r="BZ68" s="821"/>
      <c r="CA68" s="821"/>
      <c r="CB68" s="821"/>
      <c r="CC68" s="821"/>
      <c r="CD68" s="821"/>
      <c r="CM68" s="606"/>
      <c r="CN68" s="606"/>
      <c r="CO68" s="606"/>
      <c r="CP68" s="606"/>
      <c r="CQ68" s="606"/>
      <c r="CR68" s="606"/>
      <c r="CS68" s="606"/>
      <c r="CT68" s="606"/>
      <c r="CU68" s="606"/>
      <c r="CV68" s="606"/>
      <c r="CW68" s="606"/>
      <c r="CX68" s="606"/>
      <c r="CY68" s="606"/>
      <c r="CZ68" s="606"/>
      <c r="DA68" s="606"/>
      <c r="DB68" s="606"/>
      <c r="DC68" s="606"/>
      <c r="DD68" s="606"/>
      <c r="DE68" s="606"/>
      <c r="DF68" s="606"/>
      <c r="DG68" s="606"/>
      <c r="DH68" s="606"/>
      <c r="DI68" s="606"/>
      <c r="DJ68" s="606"/>
      <c r="DK68" s="606"/>
      <c r="DL68" s="606"/>
      <c r="DM68" s="606"/>
      <c r="DN68" s="606"/>
      <c r="DO68" s="606"/>
      <c r="DP68" s="606"/>
      <c r="DQ68" s="606"/>
      <c r="DR68" s="606"/>
      <c r="DS68" s="606"/>
      <c r="DT68" s="606"/>
      <c r="DU68" s="606"/>
      <c r="DV68" s="606"/>
      <c r="DW68" s="606"/>
      <c r="DX68" s="606"/>
    </row>
    <row r="69" spans="1:128" ht="15.75" customHeight="1" thickBot="1" x14ac:dyDescent="0.3">
      <c r="A69" s="6"/>
      <c r="B69" s="15"/>
      <c r="C69" s="992"/>
      <c r="D69" s="993"/>
      <c r="E69" s="381" t="s">
        <v>52</v>
      </c>
      <c r="F69" s="636" t="s">
        <v>53</v>
      </c>
      <c r="G69" s="976" t="s">
        <v>54</v>
      </c>
      <c r="H69" s="978"/>
      <c r="I69" s="43"/>
      <c r="J69" s="28"/>
      <c r="K69" s="651"/>
      <c r="L69" s="402"/>
      <c r="M69" s="296"/>
      <c r="N69" s="597"/>
      <c r="O69" s="443"/>
      <c r="P69" s="456"/>
      <c r="Q69" s="456"/>
      <c r="R69" s="443"/>
      <c r="S69" s="296"/>
      <c r="T69" s="443"/>
      <c r="U69" s="443"/>
      <c r="V69" s="424"/>
      <c r="W69" s="6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798"/>
      <c r="BL69" s="880"/>
      <c r="BM69" s="881"/>
      <c r="BN69" s="880"/>
      <c r="BO69" s="881"/>
      <c r="BP69" s="884"/>
      <c r="BQ69" s="884"/>
      <c r="BR69" s="884"/>
      <c r="BS69" s="884"/>
      <c r="BT69" s="884"/>
      <c r="BU69" s="884"/>
      <c r="BV69" s="865"/>
      <c r="BW69" s="865"/>
      <c r="BX69" s="865"/>
      <c r="BY69" s="865"/>
      <c r="BZ69" s="865"/>
      <c r="CA69" s="821"/>
      <c r="CB69" s="821"/>
      <c r="CC69" s="821"/>
      <c r="CD69" s="821"/>
      <c r="CF69" s="606"/>
      <c r="CG69" s="606"/>
      <c r="CH69" s="606"/>
      <c r="CI69" s="606"/>
      <c r="CJ69" s="606"/>
      <c r="CK69" s="606"/>
      <c r="CL69" s="606"/>
      <c r="CM69" s="606"/>
      <c r="CN69" s="606"/>
      <c r="CO69" s="606"/>
      <c r="CP69" s="606"/>
      <c r="CQ69" s="606"/>
      <c r="CR69" s="606"/>
      <c r="CS69" s="606"/>
      <c r="CT69" s="606"/>
      <c r="CU69" s="606"/>
      <c r="CV69" s="606"/>
      <c r="CW69" s="606"/>
      <c r="CX69" s="606"/>
      <c r="CY69" s="606"/>
      <c r="CZ69" s="606"/>
      <c r="DA69" s="606"/>
      <c r="DB69" s="606"/>
      <c r="DC69" s="606"/>
      <c r="DD69" s="606"/>
      <c r="DE69" s="606"/>
      <c r="DF69" s="606"/>
      <c r="DG69" s="606"/>
      <c r="DH69" s="606"/>
      <c r="DI69" s="606"/>
      <c r="DJ69" s="606"/>
      <c r="DK69" s="606"/>
      <c r="DL69" s="606"/>
      <c r="DM69" s="606"/>
      <c r="DN69" s="606"/>
      <c r="DO69" s="606"/>
      <c r="DP69" s="606"/>
      <c r="DQ69" s="606"/>
      <c r="DR69" s="606"/>
      <c r="DS69" s="606"/>
      <c r="DT69" s="606"/>
      <c r="DU69" s="606"/>
      <c r="DV69" s="606"/>
      <c r="DW69" s="606"/>
      <c r="DX69" s="606"/>
    </row>
    <row r="70" spans="1:128" ht="15.75" customHeight="1" x14ac:dyDescent="0.25">
      <c r="A70" s="6"/>
      <c r="B70" s="15"/>
      <c r="C70" s="994">
        <v>1</v>
      </c>
      <c r="D70" s="995"/>
      <c r="E70" s="638">
        <v>94</v>
      </c>
      <c r="F70" s="712">
        <v>65</v>
      </c>
      <c r="G70" s="969">
        <v>57</v>
      </c>
      <c r="H70" s="970"/>
      <c r="I70" s="27"/>
      <c r="J70" s="28"/>
      <c r="K70" s="651"/>
      <c r="L70" s="402"/>
      <c r="M70" s="296"/>
      <c r="N70" s="597"/>
      <c r="O70" s="443"/>
      <c r="P70" s="456"/>
      <c r="Q70" s="456"/>
      <c r="R70" s="443"/>
      <c r="S70" s="296"/>
      <c r="T70" s="443"/>
      <c r="U70" s="443"/>
      <c r="V70" s="424"/>
      <c r="W70" s="6"/>
      <c r="X70" s="471"/>
      <c r="Y70" s="471"/>
      <c r="Z70" s="471"/>
      <c r="AA70" s="471"/>
      <c r="AB70" s="471"/>
      <c r="AC70" s="471"/>
      <c r="AD70" s="471"/>
      <c r="AE70" s="471"/>
      <c r="AF70" s="471"/>
      <c r="AG70" s="471"/>
      <c r="AH70" s="471"/>
      <c r="AI70" s="471"/>
      <c r="AJ70" s="471"/>
      <c r="AK70" s="471"/>
      <c r="AL70" s="471"/>
      <c r="AM70" s="471"/>
      <c r="AN70" s="471"/>
      <c r="AO70" s="471"/>
      <c r="AP70" s="471"/>
      <c r="AQ70" s="471"/>
      <c r="AR70" s="471"/>
      <c r="AS70" s="471"/>
      <c r="AT70" s="471"/>
      <c r="AU70" s="471"/>
      <c r="AV70" s="471"/>
      <c r="AW70" s="471"/>
      <c r="AX70" s="471"/>
      <c r="AY70" s="471"/>
      <c r="AZ70" s="471"/>
      <c r="BA70" s="471"/>
      <c r="BB70" s="471"/>
      <c r="BC70" s="471"/>
      <c r="BD70" s="471"/>
      <c r="BE70" s="471"/>
      <c r="BF70" s="471"/>
      <c r="BG70" s="471"/>
      <c r="BH70" s="471"/>
      <c r="BI70" s="471"/>
      <c r="BJ70" s="471"/>
      <c r="BK70" s="798"/>
      <c r="BL70" s="867"/>
      <c r="BM70" s="880"/>
      <c r="BN70" s="893"/>
      <c r="BO70" s="880"/>
      <c r="BP70" s="882"/>
      <c r="BQ70" s="884"/>
      <c r="BR70" s="884"/>
      <c r="BS70" s="884"/>
      <c r="BT70" s="884"/>
      <c r="BU70" s="884"/>
      <c r="BV70" s="865"/>
      <c r="BW70" s="865"/>
      <c r="BX70" s="865"/>
      <c r="BY70" s="865"/>
      <c r="BZ70" s="865"/>
      <c r="CA70" s="821"/>
      <c r="CB70" s="821"/>
      <c r="CC70" s="821"/>
      <c r="CD70" s="821"/>
      <c r="CF70" s="606"/>
      <c r="CG70" s="606"/>
      <c r="CH70" s="606"/>
      <c r="CI70" s="606"/>
      <c r="CJ70" s="606"/>
      <c r="CK70" s="606"/>
      <c r="CL70" s="606"/>
      <c r="CM70" s="606"/>
      <c r="CN70" s="606"/>
      <c r="CO70" s="606"/>
      <c r="CP70" s="606"/>
      <c r="CQ70" s="606"/>
      <c r="CR70" s="606"/>
      <c r="CS70" s="606"/>
      <c r="CT70" s="606"/>
      <c r="CU70" s="606"/>
      <c r="CV70" s="606"/>
      <c r="CW70" s="606"/>
      <c r="CX70" s="606"/>
      <c r="CY70" s="606"/>
      <c r="CZ70" s="606"/>
      <c r="DA70" s="606"/>
      <c r="DB70" s="606"/>
      <c r="DC70" s="606"/>
      <c r="DD70" s="606"/>
      <c r="DE70" s="606"/>
      <c r="DF70" s="606"/>
      <c r="DG70" s="606"/>
      <c r="DH70" s="606"/>
      <c r="DI70" s="606"/>
      <c r="DJ70" s="606"/>
      <c r="DK70" s="606"/>
      <c r="DL70" s="606"/>
      <c r="DM70" s="606"/>
      <c r="DN70" s="606"/>
      <c r="DO70" s="606"/>
      <c r="DP70" s="606"/>
      <c r="DQ70" s="606"/>
      <c r="DR70" s="606"/>
      <c r="DS70" s="606"/>
      <c r="DT70" s="606"/>
      <c r="DU70" s="606"/>
      <c r="DV70" s="606"/>
      <c r="DW70" s="606"/>
      <c r="DX70" s="606"/>
    </row>
    <row r="71" spans="1:128" ht="15.75" customHeight="1" x14ac:dyDescent="0.25">
      <c r="A71" s="6"/>
      <c r="B71" s="15"/>
      <c r="C71" s="996">
        <v>2</v>
      </c>
      <c r="D71" s="997"/>
      <c r="E71" s="638">
        <v>134</v>
      </c>
      <c r="F71" s="712">
        <v>105</v>
      </c>
      <c r="G71" s="971">
        <v>97</v>
      </c>
      <c r="H71" s="972"/>
      <c r="I71" s="27"/>
      <c r="J71" s="28"/>
      <c r="K71" s="651"/>
      <c r="L71" s="402"/>
      <c r="M71" s="296"/>
      <c r="N71" s="597"/>
      <c r="O71" s="443"/>
      <c r="P71" s="456"/>
      <c r="Q71" s="456"/>
      <c r="R71" s="443"/>
      <c r="S71" s="296"/>
      <c r="T71" s="443"/>
      <c r="U71" s="443"/>
      <c r="V71" s="424"/>
      <c r="W71" s="6"/>
      <c r="X71" s="471"/>
      <c r="Y71" s="471"/>
      <c r="Z71" s="471"/>
      <c r="AA71" s="471"/>
      <c r="AB71" s="471"/>
      <c r="AC71" s="471"/>
      <c r="AD71" s="471"/>
      <c r="AE71" s="471"/>
      <c r="AF71" s="471"/>
      <c r="AG71" s="471"/>
      <c r="AH71" s="471"/>
      <c r="AI71" s="471"/>
      <c r="AJ71" s="471"/>
      <c r="AK71" s="471"/>
      <c r="AL71" s="471"/>
      <c r="AM71" s="471"/>
      <c r="AN71" s="471"/>
      <c r="AO71" s="471"/>
      <c r="AP71" s="471"/>
      <c r="AQ71" s="471"/>
      <c r="AR71" s="471"/>
      <c r="AS71" s="471"/>
      <c r="AT71" s="471"/>
      <c r="AU71" s="471"/>
      <c r="AV71" s="471"/>
      <c r="AW71" s="471"/>
      <c r="AX71" s="471"/>
      <c r="AY71" s="471"/>
      <c r="AZ71" s="471"/>
      <c r="BA71" s="471"/>
      <c r="BB71" s="471"/>
      <c r="BC71" s="471"/>
      <c r="BD71" s="471"/>
      <c r="BE71" s="471"/>
      <c r="BF71" s="471"/>
      <c r="BG71" s="471"/>
      <c r="BH71" s="471"/>
      <c r="BI71" s="471"/>
      <c r="BJ71" s="471"/>
      <c r="BK71" s="798"/>
      <c r="BL71" s="895"/>
      <c r="BM71" s="880"/>
      <c r="BN71" s="893"/>
      <c r="BO71" s="880"/>
      <c r="BP71" s="882"/>
      <c r="BQ71" s="884"/>
      <c r="BR71" s="884"/>
      <c r="BS71" s="884"/>
      <c r="BT71" s="884"/>
      <c r="BU71" s="884"/>
      <c r="BV71" s="865"/>
      <c r="BW71" s="865"/>
      <c r="BX71" s="865"/>
      <c r="BY71" s="865"/>
      <c r="BZ71" s="865"/>
      <c r="CA71" s="821"/>
      <c r="CB71" s="821"/>
      <c r="CC71" s="821"/>
      <c r="CD71" s="821"/>
      <c r="CF71" s="606"/>
      <c r="CG71" s="606"/>
      <c r="CH71" s="606"/>
      <c r="CI71" s="606"/>
      <c r="CJ71" s="606"/>
      <c r="CK71" s="606"/>
      <c r="CL71" s="606"/>
      <c r="CM71" s="606"/>
      <c r="CN71" s="606"/>
      <c r="CO71" s="606"/>
      <c r="CP71" s="606"/>
      <c r="CQ71" s="606"/>
      <c r="CR71" s="606"/>
      <c r="CS71" s="606"/>
      <c r="CT71" s="606"/>
      <c r="CU71" s="606"/>
      <c r="CV71" s="606"/>
      <c r="CW71" s="606"/>
      <c r="CX71" s="606"/>
      <c r="CY71" s="606"/>
      <c r="CZ71" s="606"/>
      <c r="DA71" s="606"/>
      <c r="DB71" s="606"/>
      <c r="DC71" s="606"/>
      <c r="DD71" s="606"/>
      <c r="DE71" s="606"/>
      <c r="DF71" s="606"/>
      <c r="DG71" s="606"/>
      <c r="DH71" s="606"/>
      <c r="DI71" s="606"/>
      <c r="DJ71" s="606"/>
      <c r="DK71" s="606"/>
      <c r="DL71" s="606"/>
      <c r="DM71" s="606"/>
      <c r="DN71" s="606"/>
      <c r="DO71" s="606"/>
      <c r="DP71" s="606"/>
      <c r="DQ71" s="606"/>
      <c r="DR71" s="606"/>
      <c r="DS71" s="606"/>
      <c r="DT71" s="606"/>
      <c r="DU71" s="606"/>
      <c r="DV71" s="606"/>
      <c r="DW71" s="606"/>
      <c r="DX71" s="606"/>
    </row>
    <row r="72" spans="1:128" ht="15.75" customHeight="1" x14ac:dyDescent="0.25">
      <c r="A72" s="6"/>
      <c r="B72" s="15"/>
      <c r="C72" s="996">
        <v>3</v>
      </c>
      <c r="D72" s="997"/>
      <c r="E72" s="638">
        <v>174</v>
      </c>
      <c r="F72" s="712">
        <v>145</v>
      </c>
      <c r="G72" s="971">
        <v>137</v>
      </c>
      <c r="H72" s="972"/>
      <c r="I72" s="27"/>
      <c r="J72" s="28"/>
      <c r="K72" s="651"/>
      <c r="L72" s="402"/>
      <c r="M72" s="296"/>
      <c r="N72" s="597"/>
      <c r="O72" s="443"/>
      <c r="P72" s="456"/>
      <c r="Q72" s="456"/>
      <c r="R72" s="443"/>
      <c r="S72" s="296"/>
      <c r="T72" s="443"/>
      <c r="U72" s="443"/>
      <c r="V72" s="424"/>
      <c r="W72" s="6"/>
      <c r="X72" s="471"/>
      <c r="Y72" s="471"/>
      <c r="Z72" s="471"/>
      <c r="AA72" s="471"/>
      <c r="AB72" s="471"/>
      <c r="AC72" s="471"/>
      <c r="AD72" s="471"/>
      <c r="AE72" s="471"/>
      <c r="AF72" s="471"/>
      <c r="AG72" s="471"/>
      <c r="AH72" s="471"/>
      <c r="AI72" s="471"/>
      <c r="AJ72" s="471"/>
      <c r="AK72" s="471"/>
      <c r="AL72" s="471"/>
      <c r="AM72" s="471"/>
      <c r="AN72" s="471"/>
      <c r="AO72" s="471"/>
      <c r="AP72" s="471"/>
      <c r="AQ72" s="471"/>
      <c r="AR72" s="471"/>
      <c r="AS72" s="471"/>
      <c r="AT72" s="471"/>
      <c r="AU72" s="471"/>
      <c r="AV72" s="471"/>
      <c r="AW72" s="471"/>
      <c r="AX72" s="471"/>
      <c r="AY72" s="471"/>
      <c r="AZ72" s="471"/>
      <c r="BA72" s="471"/>
      <c r="BB72" s="471"/>
      <c r="BC72" s="471"/>
      <c r="BD72" s="471"/>
      <c r="BE72" s="471"/>
      <c r="BF72" s="471"/>
      <c r="BG72" s="471"/>
      <c r="BH72" s="471"/>
      <c r="BI72" s="471"/>
      <c r="BJ72" s="471"/>
      <c r="BK72" s="798"/>
      <c r="BL72" s="881"/>
      <c r="BM72" s="896"/>
      <c r="BN72" s="893"/>
      <c r="BO72" s="880"/>
      <c r="BP72" s="882"/>
      <c r="BQ72" s="884"/>
      <c r="BR72" s="884"/>
      <c r="BS72" s="884"/>
      <c r="BT72" s="884"/>
      <c r="BU72" s="884"/>
      <c r="BV72" s="865"/>
      <c r="BW72" s="865"/>
      <c r="BX72" s="865"/>
      <c r="BY72" s="865"/>
      <c r="BZ72" s="852"/>
      <c r="CA72" s="865"/>
      <c r="CB72" s="865"/>
      <c r="CC72" s="865"/>
      <c r="CD72" s="865"/>
      <c r="CE72" s="606"/>
      <c r="CF72" s="606"/>
      <c r="CG72" s="606"/>
      <c r="CH72" s="606"/>
      <c r="CI72" s="606"/>
      <c r="CJ72" s="606"/>
      <c r="CK72" s="606"/>
      <c r="CL72" s="606"/>
      <c r="CM72" s="606"/>
      <c r="CN72" s="606"/>
      <c r="CO72" s="606"/>
      <c r="CP72" s="606"/>
      <c r="CQ72" s="606"/>
      <c r="CR72" s="606"/>
      <c r="CS72" s="606"/>
      <c r="CT72" s="606"/>
      <c r="CU72" s="606"/>
      <c r="CV72" s="606"/>
      <c r="CW72" s="606"/>
      <c r="CX72" s="606"/>
      <c r="CY72" s="606"/>
      <c r="CZ72" s="606"/>
      <c r="DA72" s="606"/>
      <c r="DB72" s="606"/>
      <c r="DC72" s="606"/>
      <c r="DD72" s="606"/>
      <c r="DE72" s="606"/>
      <c r="DF72" s="606"/>
      <c r="DG72" s="606"/>
      <c r="DH72" s="606"/>
      <c r="DI72" s="606"/>
      <c r="DJ72" s="606"/>
      <c r="DK72" s="606"/>
      <c r="DL72" s="606"/>
      <c r="DM72" s="606"/>
      <c r="DN72" s="606"/>
      <c r="DO72" s="606"/>
      <c r="DP72" s="606"/>
      <c r="DQ72" s="606"/>
      <c r="DR72" s="606"/>
      <c r="DS72" s="606"/>
      <c r="DT72" s="606"/>
      <c r="DU72" s="606"/>
      <c r="DV72" s="606"/>
      <c r="DW72" s="606"/>
      <c r="DX72" s="606"/>
    </row>
    <row r="73" spans="1:128" ht="15.75" customHeight="1" x14ac:dyDescent="0.25">
      <c r="A73" s="6"/>
      <c r="B73" s="15"/>
      <c r="C73" s="996">
        <v>4</v>
      </c>
      <c r="D73" s="997"/>
      <c r="E73" s="638">
        <v>214</v>
      </c>
      <c r="F73" s="712">
        <v>185</v>
      </c>
      <c r="G73" s="971">
        <v>177</v>
      </c>
      <c r="H73" s="972"/>
      <c r="I73" s="27"/>
      <c r="J73" s="28"/>
      <c r="K73" s="651"/>
      <c r="L73" s="402"/>
      <c r="M73" s="296"/>
      <c r="N73" s="597"/>
      <c r="O73" s="443"/>
      <c r="P73" s="456"/>
      <c r="Q73" s="456"/>
      <c r="R73" s="443"/>
      <c r="S73" s="296"/>
      <c r="T73" s="443"/>
      <c r="U73" s="443"/>
      <c r="V73" s="424"/>
      <c r="W73" s="6"/>
      <c r="X73" s="471"/>
      <c r="Y73" s="471"/>
      <c r="Z73" s="471"/>
      <c r="AA73" s="471"/>
      <c r="AB73" s="471"/>
      <c r="AC73" s="471"/>
      <c r="AD73" s="471"/>
      <c r="AE73" s="471"/>
      <c r="AF73" s="471"/>
      <c r="AG73" s="471"/>
      <c r="AH73" s="471"/>
      <c r="AI73" s="471"/>
      <c r="AJ73" s="471"/>
      <c r="AK73" s="471"/>
      <c r="AL73" s="471"/>
      <c r="AM73" s="471"/>
      <c r="AN73" s="471"/>
      <c r="AO73" s="471"/>
      <c r="AP73" s="471"/>
      <c r="AQ73" s="471"/>
      <c r="AR73" s="471"/>
      <c r="AS73" s="471"/>
      <c r="AT73" s="471"/>
      <c r="AU73" s="471"/>
      <c r="AV73" s="471"/>
      <c r="AW73" s="471"/>
      <c r="AX73" s="471"/>
      <c r="AY73" s="471"/>
      <c r="AZ73" s="471"/>
      <c r="BA73" s="471"/>
      <c r="BB73" s="471"/>
      <c r="BC73" s="471"/>
      <c r="BD73" s="471"/>
      <c r="BE73" s="471"/>
      <c r="BF73" s="471"/>
      <c r="BG73" s="471"/>
      <c r="BH73" s="471"/>
      <c r="BI73" s="471"/>
      <c r="BJ73" s="471"/>
      <c r="BK73" s="798"/>
      <c r="BL73" s="881"/>
      <c r="BM73" s="897"/>
      <c r="BN73" s="881"/>
      <c r="BO73" s="893"/>
      <c r="BP73" s="893"/>
      <c r="BQ73" s="884"/>
      <c r="BR73" s="884"/>
      <c r="BS73" s="884"/>
      <c r="BT73" s="865"/>
      <c r="BU73" s="865"/>
      <c r="BV73" s="865"/>
      <c r="BW73" s="865"/>
      <c r="BX73" s="865"/>
      <c r="BY73" s="865"/>
      <c r="BZ73" s="865"/>
      <c r="CA73" s="865"/>
      <c r="CB73" s="865"/>
      <c r="CC73" s="865"/>
      <c r="CD73" s="865"/>
      <c r="CE73" s="606"/>
      <c r="CF73" s="606"/>
      <c r="CG73" s="606"/>
      <c r="CH73" s="606"/>
      <c r="CI73" s="606"/>
      <c r="CJ73" s="606"/>
      <c r="CK73" s="606"/>
      <c r="CL73" s="606"/>
      <c r="CM73" s="606"/>
      <c r="CN73" s="606"/>
      <c r="CO73" s="606"/>
      <c r="CP73" s="606"/>
      <c r="CQ73" s="606"/>
      <c r="CR73" s="606"/>
      <c r="CS73" s="606"/>
      <c r="CT73" s="606"/>
      <c r="CU73" s="606"/>
      <c r="CV73" s="606"/>
      <c r="CW73" s="606"/>
      <c r="CX73" s="606"/>
      <c r="CY73" s="606"/>
      <c r="CZ73" s="606"/>
      <c r="DA73" s="606"/>
      <c r="DB73" s="606"/>
      <c r="DC73" s="606"/>
      <c r="DD73" s="606"/>
      <c r="DE73" s="606"/>
      <c r="DF73" s="606"/>
      <c r="DG73" s="606"/>
      <c r="DH73" s="606"/>
      <c r="DI73" s="606"/>
      <c r="DJ73" s="606"/>
      <c r="DK73" s="606"/>
      <c r="DL73" s="606"/>
      <c r="DM73" s="606"/>
      <c r="DN73" s="606"/>
      <c r="DO73" s="606"/>
      <c r="DP73" s="606"/>
      <c r="DQ73" s="606"/>
      <c r="DR73" s="606"/>
      <c r="DS73" s="606"/>
      <c r="DT73" s="606"/>
      <c r="DU73" s="606"/>
      <c r="DV73" s="606"/>
      <c r="DW73" s="606"/>
      <c r="DX73" s="606"/>
    </row>
    <row r="74" spans="1:128" ht="19.5" customHeight="1" thickBot="1" x14ac:dyDescent="0.3">
      <c r="A74" s="6"/>
      <c r="B74" s="15"/>
      <c r="C74" s="985">
        <v>5</v>
      </c>
      <c r="D74" s="998"/>
      <c r="E74" s="635">
        <v>254</v>
      </c>
      <c r="F74" s="710">
        <v>225</v>
      </c>
      <c r="G74" s="967">
        <v>217</v>
      </c>
      <c r="H74" s="968"/>
      <c r="I74" s="27"/>
      <c r="J74" s="28"/>
      <c r="K74" s="651"/>
      <c r="L74" s="402"/>
      <c r="M74" s="296"/>
      <c r="N74" s="597"/>
      <c r="O74" s="443"/>
      <c r="P74" s="456"/>
      <c r="Q74" s="456"/>
      <c r="R74" s="443"/>
      <c r="S74" s="296"/>
      <c r="T74" s="443"/>
      <c r="U74" s="443"/>
      <c r="V74" s="424"/>
      <c r="W74" s="6"/>
      <c r="X74" s="471"/>
      <c r="Y74" s="471"/>
      <c r="Z74" s="471"/>
      <c r="AA74" s="471"/>
      <c r="AB74" s="471"/>
      <c r="AC74" s="471"/>
      <c r="AD74" s="471"/>
      <c r="AE74" s="471"/>
      <c r="AF74" s="471"/>
      <c r="AG74" s="471"/>
      <c r="AH74" s="471"/>
      <c r="AI74" s="471"/>
      <c r="AJ74" s="471"/>
      <c r="AK74" s="471"/>
      <c r="AL74" s="471"/>
      <c r="AM74" s="471"/>
      <c r="AN74" s="471"/>
      <c r="AO74" s="471"/>
      <c r="AP74" s="471"/>
      <c r="AQ74" s="471"/>
      <c r="AR74" s="471"/>
      <c r="AS74" s="471"/>
      <c r="AT74" s="471"/>
      <c r="AU74" s="471"/>
      <c r="AV74" s="471"/>
      <c r="AW74" s="471"/>
      <c r="AX74" s="471"/>
      <c r="AY74" s="471"/>
      <c r="AZ74" s="471"/>
      <c r="BA74" s="471"/>
      <c r="BB74" s="471"/>
      <c r="BC74" s="471"/>
      <c r="BD74" s="471"/>
      <c r="BE74" s="471"/>
      <c r="BF74" s="471"/>
      <c r="BG74" s="471"/>
      <c r="BH74" s="471"/>
      <c r="BI74" s="471"/>
      <c r="BJ74" s="471"/>
      <c r="BK74" s="798"/>
      <c r="BL74" s="898"/>
      <c r="BM74" s="898"/>
      <c r="BN74" s="898"/>
      <c r="BO74" s="899"/>
      <c r="BP74" s="900" t="s">
        <v>329</v>
      </c>
      <c r="BQ74" s="901"/>
      <c r="BR74" s="901"/>
      <c r="BS74" s="899"/>
      <c r="BT74" s="840"/>
      <c r="BU74" s="840"/>
      <c r="BV74" s="840"/>
      <c r="BW74" s="840"/>
      <c r="BX74" s="840"/>
      <c r="BY74" s="840"/>
      <c r="BZ74" s="821"/>
      <c r="CA74" s="865"/>
      <c r="CB74" s="865"/>
      <c r="CC74" s="865"/>
      <c r="CD74" s="865"/>
      <c r="CE74" s="606"/>
      <c r="CF74" s="606"/>
      <c r="CG74" s="606"/>
      <c r="CH74" s="606"/>
      <c r="CI74" s="606"/>
      <c r="CJ74" s="606"/>
      <c r="CK74" s="606"/>
      <c r="CL74" s="606"/>
      <c r="CM74" s="606"/>
      <c r="CN74" s="606"/>
      <c r="CO74" s="606"/>
      <c r="CP74" s="606"/>
      <c r="CQ74" s="606"/>
      <c r="CR74" s="606"/>
      <c r="CS74" s="606"/>
      <c r="CT74" s="606"/>
      <c r="CU74" s="606"/>
      <c r="CV74" s="606"/>
      <c r="CW74" s="606"/>
      <c r="CX74" s="606"/>
      <c r="CY74" s="606"/>
      <c r="CZ74" s="606"/>
      <c r="DA74" s="606"/>
      <c r="DB74" s="606"/>
      <c r="DC74" s="606"/>
      <c r="DD74" s="606"/>
      <c r="DE74" s="606"/>
      <c r="DF74" s="606"/>
      <c r="DG74" s="606"/>
      <c r="DH74" s="606"/>
      <c r="DI74" s="606"/>
      <c r="DJ74" s="606"/>
      <c r="DK74" s="606"/>
      <c r="DL74" s="606"/>
      <c r="DM74" s="606"/>
      <c r="DN74" s="606"/>
      <c r="DO74" s="606"/>
      <c r="DP74" s="606"/>
      <c r="DQ74" s="606"/>
      <c r="DR74" s="606"/>
      <c r="DS74" s="606"/>
      <c r="DT74" s="606"/>
      <c r="DU74" s="606"/>
      <c r="DV74" s="606"/>
      <c r="DW74" s="606"/>
      <c r="DX74" s="606"/>
    </row>
    <row r="75" spans="1:128" ht="15.75" customHeight="1" thickBot="1" x14ac:dyDescent="0.3">
      <c r="A75" s="6"/>
      <c r="B75" s="45"/>
      <c r="C75" s="679"/>
      <c r="D75" s="85"/>
      <c r="E75" s="85"/>
      <c r="F75" s="85"/>
      <c r="G75" s="46"/>
      <c r="H75" s="47"/>
      <c r="I75" s="48"/>
      <c r="J75" s="28"/>
      <c r="K75" s="654"/>
      <c r="L75" s="665"/>
      <c r="M75" s="457"/>
      <c r="N75" s="598"/>
      <c r="O75" s="458"/>
      <c r="P75" s="459"/>
      <c r="Q75" s="459"/>
      <c r="R75" s="458"/>
      <c r="S75" s="457"/>
      <c r="T75" s="458"/>
      <c r="U75" s="458"/>
      <c r="V75" s="460"/>
      <c r="W75" s="6"/>
      <c r="X75" s="471"/>
      <c r="Y75" s="471"/>
      <c r="Z75" s="471"/>
      <c r="AA75" s="471"/>
      <c r="AB75" s="471"/>
      <c r="AC75" s="471"/>
      <c r="AD75" s="471"/>
      <c r="AE75" s="471"/>
      <c r="AF75" s="471"/>
      <c r="AG75" s="471"/>
      <c r="AH75" s="471"/>
      <c r="AI75" s="471"/>
      <c r="AJ75" s="471"/>
      <c r="AK75" s="471"/>
      <c r="AL75" s="471"/>
      <c r="AM75" s="471"/>
      <c r="AN75" s="471"/>
      <c r="AO75" s="471"/>
      <c r="AP75" s="471"/>
      <c r="AQ75" s="471"/>
      <c r="AR75" s="471"/>
      <c r="AS75" s="471"/>
      <c r="AT75" s="471"/>
      <c r="AU75" s="471"/>
      <c r="AV75" s="471"/>
      <c r="AW75" s="471"/>
      <c r="AX75" s="471"/>
      <c r="AY75" s="471"/>
      <c r="AZ75" s="471"/>
      <c r="BA75" s="471"/>
      <c r="BB75" s="471"/>
      <c r="BC75" s="471"/>
      <c r="BD75" s="471"/>
      <c r="BE75" s="471"/>
      <c r="BF75" s="471"/>
      <c r="BG75" s="471"/>
      <c r="BH75" s="471"/>
      <c r="BI75" s="471"/>
      <c r="BJ75" s="471"/>
      <c r="BK75" s="798"/>
      <c r="BL75" s="898"/>
      <c r="BM75" s="902"/>
      <c r="BN75" s="902"/>
      <c r="BO75" s="903"/>
      <c r="BP75" s="975" t="s">
        <v>102</v>
      </c>
      <c r="BQ75" s="975"/>
      <c r="BR75" s="904"/>
      <c r="BS75" s="903"/>
      <c r="BT75" s="840"/>
      <c r="BU75" s="840"/>
      <c r="BV75" s="840"/>
      <c r="BW75" s="840"/>
      <c r="BX75" s="840"/>
      <c r="BY75" s="840"/>
      <c r="BZ75" s="865"/>
      <c r="CA75" s="865"/>
      <c r="CB75" s="865"/>
      <c r="CC75" s="865"/>
      <c r="CD75" s="865"/>
      <c r="CE75" s="606"/>
      <c r="CF75" s="606"/>
      <c r="CG75" s="606"/>
      <c r="CH75" s="606"/>
      <c r="CI75" s="606"/>
      <c r="CJ75" s="606"/>
      <c r="CK75" s="606"/>
      <c r="CL75" s="606"/>
      <c r="CM75" s="606"/>
      <c r="CN75" s="606"/>
      <c r="CO75" s="606"/>
      <c r="CP75" s="606"/>
      <c r="CQ75" s="606"/>
      <c r="CR75" s="606"/>
      <c r="CS75" s="606"/>
      <c r="CT75" s="606"/>
      <c r="CU75" s="606"/>
      <c r="CV75" s="606"/>
      <c r="CW75" s="606"/>
      <c r="CX75" s="606"/>
      <c r="CY75" s="606"/>
      <c r="CZ75" s="606"/>
      <c r="DA75" s="606"/>
      <c r="DB75" s="606"/>
      <c r="DC75" s="606"/>
      <c r="DD75" s="606"/>
      <c r="DE75" s="606"/>
      <c r="DF75" s="606"/>
      <c r="DG75" s="606"/>
      <c r="DH75" s="606"/>
      <c r="DI75" s="606"/>
      <c r="DJ75" s="606"/>
      <c r="DK75" s="606"/>
      <c r="DL75" s="606"/>
      <c r="DM75" s="606"/>
      <c r="DN75" s="606"/>
      <c r="DO75" s="606"/>
      <c r="DP75" s="606"/>
      <c r="DQ75" s="606"/>
      <c r="DR75" s="606"/>
      <c r="DS75" s="606"/>
      <c r="DT75" s="606"/>
      <c r="DU75" s="606"/>
      <c r="DV75" s="606"/>
      <c r="DW75" s="606"/>
      <c r="DX75" s="606"/>
    </row>
    <row r="76" spans="1:128" ht="15.75" customHeight="1" x14ac:dyDescent="0.25">
      <c r="A76" s="6"/>
      <c r="B76" s="6"/>
      <c r="C76" s="623"/>
      <c r="D76" s="6"/>
      <c r="E76" s="6"/>
      <c r="F76" s="6"/>
      <c r="G76" s="320"/>
      <c r="H76" s="7"/>
      <c r="I76" s="28"/>
      <c r="J76" s="28"/>
      <c r="K76" s="655"/>
      <c r="L76" s="92"/>
      <c r="M76" s="14"/>
      <c r="N76" s="14"/>
      <c r="O76" s="425"/>
      <c r="P76" s="6"/>
      <c r="Q76" s="426"/>
      <c r="R76" s="426"/>
      <c r="S76" s="6"/>
      <c r="T76" s="14"/>
      <c r="U76" s="6"/>
      <c r="V76" s="6"/>
      <c r="W76" s="6"/>
      <c r="X76" s="471"/>
      <c r="Y76" s="471"/>
      <c r="Z76" s="471"/>
      <c r="AA76" s="471"/>
      <c r="AB76" s="471"/>
      <c r="AC76" s="471"/>
      <c r="AD76" s="471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1"/>
      <c r="AP76" s="471"/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471"/>
      <c r="BF76" s="471"/>
      <c r="BG76" s="471"/>
      <c r="BH76" s="471"/>
      <c r="BI76" s="471"/>
      <c r="BJ76" s="471"/>
      <c r="BK76" s="798"/>
      <c r="BL76" s="905"/>
      <c r="BM76" s="906"/>
      <c r="BN76" s="907"/>
      <c r="BO76" s="908"/>
      <c r="BP76" s="903"/>
      <c r="BQ76" s="903"/>
      <c r="BR76" s="903"/>
      <c r="BS76" s="903"/>
      <c r="BT76" s="840"/>
      <c r="BU76" s="840"/>
      <c r="BV76" s="840"/>
      <c r="BW76" s="840"/>
      <c r="BX76" s="840"/>
      <c r="BY76" s="840"/>
      <c r="BZ76" s="865"/>
      <c r="CA76" s="865"/>
      <c r="CB76" s="865"/>
      <c r="CC76" s="865"/>
      <c r="CD76" s="865"/>
      <c r="CE76" s="606"/>
      <c r="CF76" s="606"/>
      <c r="CG76" s="606"/>
      <c r="CH76" s="606"/>
      <c r="CI76" s="606"/>
      <c r="CJ76" s="606"/>
      <c r="CK76" s="606"/>
      <c r="CL76" s="606"/>
      <c r="CM76" s="606"/>
      <c r="CN76" s="606"/>
      <c r="CO76" s="606"/>
      <c r="CP76" s="606"/>
      <c r="CQ76" s="606"/>
      <c r="CR76" s="606"/>
      <c r="CS76" s="606"/>
      <c r="CT76" s="606"/>
      <c r="CU76" s="606"/>
      <c r="CV76" s="606"/>
      <c r="CW76" s="606"/>
      <c r="CX76" s="606"/>
      <c r="CY76" s="606"/>
      <c r="CZ76" s="606"/>
      <c r="DA76" s="606"/>
      <c r="DB76" s="606"/>
      <c r="DC76" s="606"/>
      <c r="DD76" s="606"/>
      <c r="DE76" s="606"/>
      <c r="DF76" s="606"/>
      <c r="DG76" s="606"/>
      <c r="DH76" s="606"/>
      <c r="DI76" s="606"/>
      <c r="DJ76" s="606"/>
      <c r="DK76" s="606"/>
      <c r="DL76" s="606"/>
      <c r="DM76" s="606"/>
      <c r="DN76" s="606"/>
      <c r="DO76" s="606"/>
      <c r="DP76" s="606"/>
      <c r="DQ76" s="606"/>
      <c r="DR76" s="606"/>
      <c r="DS76" s="606"/>
      <c r="DT76" s="606"/>
      <c r="DU76" s="606"/>
      <c r="DV76" s="606"/>
      <c r="DW76" s="606"/>
      <c r="DX76" s="606"/>
    </row>
    <row r="77" spans="1:128" ht="15.75" customHeight="1" x14ac:dyDescent="0.3">
      <c r="A77" s="6"/>
      <c r="B77" s="6"/>
      <c r="C77" s="623"/>
      <c r="D77" s="6"/>
      <c r="E77" s="6"/>
      <c r="F77" s="1"/>
      <c r="G77" s="1"/>
      <c r="H77" s="7"/>
      <c r="I77" s="28"/>
      <c r="J77" s="28"/>
      <c r="K77" s="655"/>
      <c r="L77" s="92"/>
      <c r="M77" s="14"/>
      <c r="N77" s="14"/>
      <c r="O77" s="425"/>
      <c r="P77" s="6"/>
      <c r="Q77" s="4" t="s">
        <v>60</v>
      </c>
      <c r="R77" s="426"/>
      <c r="S77" s="6"/>
      <c r="T77" s="14"/>
      <c r="U77" s="6"/>
      <c r="V77" s="6"/>
      <c r="W77" s="6"/>
      <c r="X77" s="471"/>
      <c r="Y77" s="471"/>
      <c r="Z77" s="471"/>
      <c r="AA77" s="471"/>
      <c r="AB77" s="471"/>
      <c r="AC77" s="471"/>
      <c r="AD77" s="471"/>
      <c r="AE77" s="471"/>
      <c r="AF77" s="471"/>
      <c r="AG77" s="471"/>
      <c r="AH77" s="471"/>
      <c r="AI77" s="471"/>
      <c r="AJ77" s="471"/>
      <c r="AK77" s="471"/>
      <c r="AL77" s="471"/>
      <c r="AM77" s="471"/>
      <c r="AN77" s="471"/>
      <c r="AO77" s="471"/>
      <c r="AP77" s="471"/>
      <c r="AQ77" s="471"/>
      <c r="AR77" s="471"/>
      <c r="AS77" s="471"/>
      <c r="AT77" s="471"/>
      <c r="AU77" s="471"/>
      <c r="AV77" s="471"/>
      <c r="AW77" s="471"/>
      <c r="AX77" s="471"/>
      <c r="AY77" s="471"/>
      <c r="AZ77" s="471"/>
      <c r="BA77" s="471"/>
      <c r="BB77" s="471"/>
      <c r="BC77" s="471"/>
      <c r="BD77" s="471"/>
      <c r="BE77" s="471"/>
      <c r="BF77" s="471"/>
      <c r="BG77" s="471"/>
      <c r="BH77" s="471"/>
      <c r="BI77" s="471"/>
      <c r="BJ77" s="471"/>
      <c r="BK77" s="798"/>
      <c r="BL77" s="905"/>
      <c r="BM77" s="906"/>
      <c r="BN77" s="907"/>
      <c r="BO77" s="908"/>
      <c r="BP77" s="903"/>
      <c r="BQ77" s="903"/>
      <c r="BR77" s="903"/>
      <c r="BS77" s="903"/>
      <c r="BT77" s="840"/>
      <c r="BU77" s="840"/>
      <c r="BV77" s="840"/>
      <c r="BW77" s="840"/>
      <c r="BX77" s="840"/>
      <c r="BY77" s="840"/>
      <c r="BZ77" s="865"/>
      <c r="CA77" s="865"/>
      <c r="CB77" s="865"/>
      <c r="CC77" s="865"/>
      <c r="CD77" s="865"/>
      <c r="CE77" s="606"/>
      <c r="CF77" s="606"/>
      <c r="CG77" s="606"/>
      <c r="CH77" s="606"/>
      <c r="CI77" s="606"/>
      <c r="CJ77" s="606"/>
      <c r="CK77" s="606"/>
      <c r="CL77" s="606"/>
      <c r="CM77" s="606"/>
      <c r="CN77" s="606"/>
      <c r="CO77" s="606"/>
      <c r="CP77" s="606"/>
      <c r="CQ77" s="606"/>
      <c r="CR77" s="606"/>
      <c r="CS77" s="606"/>
      <c r="CT77" s="606"/>
      <c r="CU77" s="606"/>
      <c r="CV77" s="606"/>
      <c r="CW77" s="606"/>
      <c r="CX77" s="606"/>
      <c r="CY77" s="606"/>
      <c r="CZ77" s="606"/>
      <c r="DA77" s="606"/>
      <c r="DB77" s="606"/>
      <c r="DC77" s="606"/>
      <c r="DD77" s="606"/>
      <c r="DE77" s="606"/>
      <c r="DF77" s="606"/>
      <c r="DG77" s="606"/>
      <c r="DH77" s="606"/>
      <c r="DI77" s="606"/>
      <c r="DJ77" s="606"/>
      <c r="DK77" s="606"/>
      <c r="DL77" s="606"/>
      <c r="DM77" s="606"/>
      <c r="DN77" s="606"/>
      <c r="DO77" s="606"/>
      <c r="DP77" s="606"/>
      <c r="DQ77" s="606"/>
      <c r="DR77" s="606"/>
      <c r="DS77" s="606"/>
      <c r="DT77" s="606"/>
      <c r="DU77" s="606"/>
      <c r="DV77" s="606"/>
      <c r="DW77" s="606"/>
      <c r="DX77" s="606"/>
    </row>
    <row r="78" spans="1:128" ht="15.75" customHeight="1" thickBot="1" x14ac:dyDescent="0.35">
      <c r="A78" s="6"/>
      <c r="B78" s="6"/>
      <c r="C78" s="623"/>
      <c r="D78" s="6"/>
      <c r="E78" s="6"/>
      <c r="F78" s="6"/>
      <c r="G78" s="4"/>
      <c r="H78" s="7"/>
      <c r="I78" s="28"/>
      <c r="J78" s="28"/>
      <c r="K78" s="656"/>
      <c r="L78" s="92"/>
      <c r="M78" s="2"/>
      <c r="N78" s="2"/>
      <c r="O78" s="1"/>
      <c r="P78" s="1"/>
      <c r="Q78" s="1"/>
      <c r="R78" s="1"/>
      <c r="S78" s="1"/>
      <c r="T78" s="2"/>
      <c r="U78" s="1"/>
      <c r="V78" s="6"/>
      <c r="W78" s="6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3"/>
      <c r="BA78" s="233"/>
      <c r="BB78" s="233"/>
      <c r="BC78" s="233"/>
      <c r="BD78" s="233"/>
      <c r="BE78" s="233"/>
      <c r="BF78" s="233"/>
      <c r="BG78" s="233"/>
      <c r="BH78" s="233"/>
      <c r="BI78" s="233"/>
      <c r="BJ78" s="233"/>
      <c r="BK78" s="798"/>
      <c r="BL78" s="905"/>
      <c r="BM78" s="906"/>
      <c r="BN78" s="906"/>
      <c r="BO78" s="908"/>
      <c r="BP78" s="903"/>
      <c r="BQ78" s="903"/>
      <c r="BR78" s="903"/>
      <c r="BS78" s="903"/>
      <c r="BT78" s="840"/>
      <c r="BU78" s="840"/>
      <c r="BV78" s="840"/>
      <c r="BW78" s="840"/>
      <c r="BX78" s="840"/>
      <c r="BY78" s="840"/>
      <c r="BZ78" s="865"/>
      <c r="CA78" s="865"/>
      <c r="CB78" s="865"/>
      <c r="CC78" s="865"/>
      <c r="CD78" s="865"/>
      <c r="CE78" s="606"/>
      <c r="CF78" s="606"/>
      <c r="CG78" s="606"/>
      <c r="CH78" s="606"/>
      <c r="CI78" s="606"/>
      <c r="CJ78" s="606"/>
      <c r="CK78" s="606"/>
      <c r="CL78" s="606"/>
      <c r="CM78" s="606"/>
      <c r="CN78" s="606"/>
      <c r="CO78" s="606"/>
      <c r="CP78" s="606"/>
      <c r="CQ78" s="606"/>
      <c r="CR78" s="606"/>
      <c r="CS78" s="606"/>
      <c r="CT78" s="606"/>
      <c r="CU78" s="606"/>
      <c r="CV78" s="606"/>
      <c r="CW78" s="606"/>
      <c r="CX78" s="606"/>
      <c r="CY78" s="606"/>
      <c r="CZ78" s="606"/>
      <c r="DA78" s="606"/>
      <c r="DB78" s="606"/>
      <c r="DC78" s="606"/>
      <c r="DD78" s="606"/>
      <c r="DE78" s="606"/>
      <c r="DF78" s="606"/>
      <c r="DG78" s="606"/>
      <c r="DH78" s="606"/>
      <c r="DI78" s="606"/>
      <c r="DJ78" s="606"/>
      <c r="DK78" s="606"/>
      <c r="DL78" s="606"/>
      <c r="DM78" s="606"/>
      <c r="DN78" s="606"/>
      <c r="DO78" s="606"/>
      <c r="DP78" s="606"/>
      <c r="DQ78" s="606"/>
      <c r="DR78" s="606"/>
      <c r="DS78" s="606"/>
      <c r="DT78" s="606"/>
      <c r="DU78" s="606"/>
      <c r="DV78" s="606"/>
      <c r="DW78" s="606"/>
      <c r="DX78" s="606"/>
    </row>
    <row r="79" spans="1:128" ht="15.75" customHeight="1" x14ac:dyDescent="0.25">
      <c r="A79" s="6"/>
      <c r="B79" s="9"/>
      <c r="C79" s="674"/>
      <c r="D79" s="11"/>
      <c r="E79" s="11"/>
      <c r="F79" s="11"/>
      <c r="G79" s="49"/>
      <c r="H79" s="49"/>
      <c r="I79" s="50"/>
      <c r="J79" s="14"/>
      <c r="K79" s="657"/>
      <c r="L79" s="624"/>
      <c r="M79" s="364"/>
      <c r="N79" s="365"/>
      <c r="O79" s="365"/>
      <c r="P79" s="365"/>
      <c r="Q79" s="365"/>
      <c r="R79" s="365"/>
      <c r="S79" s="364"/>
      <c r="T79" s="365"/>
      <c r="U79" s="365"/>
      <c r="V79" s="366"/>
      <c r="W79" s="6"/>
      <c r="X79" s="233"/>
      <c r="Y79" s="233"/>
      <c r="Z79" s="233"/>
      <c r="AA79" s="233"/>
      <c r="AB79" s="233"/>
      <c r="AC79" s="233"/>
      <c r="AD79" s="233"/>
      <c r="AE79" s="233"/>
      <c r="AF79" s="233"/>
      <c r="AG79" s="233"/>
      <c r="AH79" s="233"/>
      <c r="AI79" s="233"/>
      <c r="AJ79" s="233"/>
      <c r="AK79" s="233"/>
      <c r="AL79" s="233"/>
      <c r="AM79" s="233"/>
      <c r="AN79" s="233"/>
      <c r="AO79" s="233"/>
      <c r="AP79" s="233"/>
      <c r="AQ79" s="233"/>
      <c r="AR79" s="233"/>
      <c r="AS79" s="233"/>
      <c r="AT79" s="233"/>
      <c r="AU79" s="233"/>
      <c r="AV79" s="233"/>
      <c r="AW79" s="233"/>
      <c r="AX79" s="233"/>
      <c r="AY79" s="233"/>
      <c r="AZ79" s="233"/>
      <c r="BA79" s="233"/>
      <c r="BB79" s="233"/>
      <c r="BC79" s="233"/>
      <c r="BD79" s="233"/>
      <c r="BE79" s="233"/>
      <c r="BF79" s="233"/>
      <c r="BG79" s="233"/>
      <c r="BH79" s="233"/>
      <c r="BI79" s="233"/>
      <c r="BJ79" s="233"/>
      <c r="BK79" s="798"/>
      <c r="BL79" s="905"/>
      <c r="BM79" s="909"/>
      <c r="BN79" s="910"/>
      <c r="BO79" s="908"/>
      <c r="BP79" s="903"/>
      <c r="BQ79" s="903"/>
      <c r="BR79" s="903"/>
      <c r="BS79" s="903"/>
      <c r="BT79" s="840"/>
      <c r="BU79" s="840"/>
      <c r="BV79" s="840"/>
      <c r="BW79" s="840"/>
      <c r="BX79" s="840"/>
      <c r="BY79" s="840"/>
      <c r="BZ79" s="865"/>
      <c r="CA79" s="865"/>
      <c r="CB79" s="865"/>
      <c r="CC79" s="865"/>
      <c r="CD79" s="865"/>
      <c r="CE79" s="606"/>
      <c r="CF79" s="606"/>
      <c r="CG79" s="606"/>
      <c r="CH79" s="606"/>
      <c r="CI79" s="606"/>
      <c r="CJ79" s="606"/>
      <c r="CK79" s="606"/>
      <c r="CL79" s="606"/>
      <c r="CM79" s="606"/>
      <c r="CN79" s="606"/>
      <c r="CO79" s="606"/>
      <c r="CP79" s="606"/>
      <c r="CQ79" s="606"/>
      <c r="CR79" s="606"/>
      <c r="CS79" s="606"/>
      <c r="CT79" s="606"/>
      <c r="CU79" s="606"/>
      <c r="CV79" s="606"/>
      <c r="CW79" s="606"/>
      <c r="CX79" s="606"/>
      <c r="CY79" s="606"/>
      <c r="CZ79" s="606"/>
      <c r="DA79" s="606"/>
      <c r="DB79" s="606"/>
      <c r="DC79" s="606"/>
      <c r="DD79" s="606"/>
      <c r="DE79" s="606"/>
      <c r="DF79" s="606"/>
      <c r="DG79" s="606"/>
      <c r="DH79" s="606"/>
      <c r="DI79" s="606"/>
      <c r="DJ79" s="606"/>
      <c r="DK79" s="606"/>
      <c r="DL79" s="606"/>
      <c r="DM79" s="606"/>
      <c r="DN79" s="606"/>
      <c r="DO79" s="606"/>
      <c r="DP79" s="606"/>
      <c r="DQ79" s="606"/>
      <c r="DR79" s="606"/>
      <c r="DS79" s="606"/>
      <c r="DT79" s="606"/>
      <c r="DU79" s="606"/>
      <c r="DV79" s="606"/>
      <c r="DW79" s="606"/>
      <c r="DX79" s="606"/>
    </row>
    <row r="80" spans="1:128" ht="15.75" customHeight="1" x14ac:dyDescent="0.3">
      <c r="A80" s="6"/>
      <c r="B80" s="15"/>
      <c r="C80" s="973" t="s">
        <v>65</v>
      </c>
      <c r="D80" s="973"/>
      <c r="E80" s="17"/>
      <c r="F80" s="17"/>
      <c r="G80" s="51"/>
      <c r="H80" s="51"/>
      <c r="I80" s="53"/>
      <c r="J80" s="6"/>
      <c r="K80" s="651"/>
      <c r="L80" s="376"/>
      <c r="M80" s="441" t="s">
        <v>65</v>
      </c>
      <c r="N80" s="442"/>
      <c r="O80" s="443"/>
      <c r="P80" s="667" t="str">
        <f>IF($U$46&gt;12000.001,"Esta unidade não suporta vazão de acima de 12000l/dia"," ")</f>
        <v xml:space="preserve"> </v>
      </c>
      <c r="Q80" s="443"/>
      <c r="R80" s="443"/>
      <c r="S80" s="296"/>
      <c r="T80" s="443"/>
      <c r="U80" s="443"/>
      <c r="V80" s="424"/>
      <c r="W80" s="6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3"/>
      <c r="BA80" s="233"/>
      <c r="BB80" s="233"/>
      <c r="BC80" s="233"/>
      <c r="BD80" s="233"/>
      <c r="BE80" s="233"/>
      <c r="BF80" s="233"/>
      <c r="BG80" s="233"/>
      <c r="BH80" s="233"/>
      <c r="BI80" s="233"/>
      <c r="BJ80" s="233"/>
      <c r="BK80" s="471"/>
      <c r="BL80" s="905"/>
      <c r="BM80" s="911"/>
      <c r="BN80" s="902"/>
      <c r="BO80" s="903"/>
      <c r="BP80" s="903"/>
      <c r="BQ80" s="903"/>
      <c r="BR80" s="903"/>
      <c r="BS80" s="865"/>
      <c r="BT80" s="865"/>
      <c r="BU80" s="865"/>
      <c r="BV80" s="865"/>
      <c r="BW80" s="865"/>
      <c r="BX80" s="865"/>
      <c r="BY80" s="865"/>
      <c r="BZ80" s="865"/>
      <c r="CA80" s="865"/>
      <c r="CB80" s="865"/>
      <c r="CC80" s="865"/>
      <c r="CD80" s="865"/>
      <c r="CE80" s="606"/>
      <c r="CF80" s="606"/>
      <c r="CG80" s="606"/>
      <c r="CH80" s="606"/>
      <c r="CI80" s="606"/>
      <c r="CJ80" s="606"/>
      <c r="CK80" s="606"/>
      <c r="CL80" s="606"/>
      <c r="CM80" s="606"/>
      <c r="CN80" s="606"/>
      <c r="CO80" s="606"/>
      <c r="CP80" s="606"/>
      <c r="CQ80" s="606"/>
      <c r="CR80" s="606"/>
      <c r="CS80" s="606"/>
      <c r="CT80" s="606"/>
      <c r="CU80" s="606"/>
      <c r="CV80" s="606"/>
      <c r="CW80" s="606"/>
      <c r="CX80" s="606"/>
      <c r="CY80" s="606"/>
      <c r="CZ80" s="606"/>
      <c r="DA80" s="606"/>
      <c r="DB80" s="606"/>
      <c r="DC80" s="606"/>
      <c r="DD80" s="606"/>
      <c r="DE80" s="606"/>
      <c r="DF80" s="606"/>
      <c r="DG80" s="606"/>
      <c r="DH80" s="606"/>
      <c r="DI80" s="606"/>
      <c r="DJ80" s="606"/>
      <c r="DK80" s="606"/>
      <c r="DL80" s="606"/>
      <c r="DM80" s="606"/>
      <c r="DN80" s="606"/>
      <c r="DO80" s="606"/>
      <c r="DP80" s="606"/>
      <c r="DQ80" s="606"/>
      <c r="DR80" s="606"/>
      <c r="DS80" s="606"/>
      <c r="DT80" s="606"/>
      <c r="DU80" s="606"/>
      <c r="DV80" s="606"/>
      <c r="DW80" s="606"/>
    </row>
    <row r="81" spans="1:128" ht="15.75" customHeight="1" thickBot="1" x14ac:dyDescent="0.3">
      <c r="A81" s="6"/>
      <c r="B81" s="15"/>
      <c r="C81" s="514"/>
      <c r="D81" s="31"/>
      <c r="E81" s="17"/>
      <c r="F81" s="17"/>
      <c r="G81" s="51"/>
      <c r="H81" s="17"/>
      <c r="I81" s="18"/>
      <c r="J81" s="55"/>
      <c r="K81" s="658"/>
      <c r="L81" s="376"/>
      <c r="M81" s="444"/>
      <c r="N81" s="444"/>
      <c r="O81" s="443"/>
      <c r="P81" s="445"/>
      <c r="Q81" s="445"/>
      <c r="R81" s="443"/>
      <c r="S81" s="296"/>
      <c r="T81" s="443"/>
      <c r="U81" s="443"/>
      <c r="V81" s="424"/>
      <c r="W81" s="6"/>
      <c r="X81" s="471"/>
      <c r="Y81" s="471"/>
      <c r="Z81" s="471"/>
      <c r="AA81" s="471"/>
      <c r="AB81" s="471"/>
      <c r="AC81" s="471"/>
      <c r="AD81" s="471"/>
      <c r="AE81" s="471"/>
      <c r="AF81" s="471"/>
      <c r="AG81" s="471"/>
      <c r="AH81" s="471"/>
      <c r="AI81" s="471"/>
      <c r="AJ81" s="471"/>
      <c r="AK81" s="471"/>
      <c r="AL81" s="471"/>
      <c r="AM81" s="471"/>
      <c r="AN81" s="471"/>
      <c r="AO81" s="471"/>
      <c r="AP81" s="471"/>
      <c r="AQ81" s="471"/>
      <c r="AR81" s="471"/>
      <c r="AS81" s="471"/>
      <c r="AT81" s="471"/>
      <c r="AU81" s="471"/>
      <c r="AV81" s="471"/>
      <c r="AW81" s="471"/>
      <c r="AX81" s="471"/>
      <c r="AY81" s="471"/>
      <c r="AZ81" s="471"/>
      <c r="BA81" s="471"/>
      <c r="BB81" s="471"/>
      <c r="BC81" s="471"/>
      <c r="BD81" s="471"/>
      <c r="BE81" s="471"/>
      <c r="BF81" s="471"/>
      <c r="BG81" s="471"/>
      <c r="BH81" s="471"/>
      <c r="BI81" s="471"/>
      <c r="BJ81" s="471"/>
      <c r="BK81" s="471"/>
      <c r="BL81" s="905"/>
      <c r="BM81" s="856"/>
      <c r="BN81" s="908"/>
      <c r="BO81" s="912"/>
      <c r="BP81" s="1009" t="s">
        <v>57</v>
      </c>
      <c r="BQ81" s="1009"/>
      <c r="BR81" s="1009"/>
      <c r="BS81" s="913" t="s">
        <v>8</v>
      </c>
      <c r="BT81" s="913" t="s">
        <v>12</v>
      </c>
      <c r="BU81" s="913" t="s">
        <v>58</v>
      </c>
      <c r="BV81" s="913" t="s">
        <v>27</v>
      </c>
      <c r="BW81" s="913" t="s">
        <v>59</v>
      </c>
      <c r="BX81" s="865"/>
      <c r="BY81" s="865" t="s">
        <v>330</v>
      </c>
      <c r="BZ81" s="865"/>
      <c r="CA81" s="865"/>
      <c r="CB81" s="865" t="s">
        <v>326</v>
      </c>
      <c r="CC81" s="865"/>
      <c r="CD81" s="865"/>
      <c r="CE81" s="606"/>
      <c r="CF81" s="606"/>
      <c r="CG81" s="606"/>
      <c r="CH81" s="606"/>
      <c r="CI81" s="606"/>
      <c r="CJ81" s="606"/>
      <c r="CK81" s="606"/>
      <c r="CL81" s="606"/>
      <c r="CM81" s="606"/>
      <c r="CN81" s="606"/>
      <c r="CO81" s="606"/>
      <c r="CP81" s="606"/>
      <c r="CQ81" s="606"/>
      <c r="CR81" s="606"/>
      <c r="CS81" s="606"/>
      <c r="CT81" s="606"/>
      <c r="CU81" s="606"/>
      <c r="CV81" s="606"/>
      <c r="CW81" s="606"/>
      <c r="CX81" s="606"/>
      <c r="CY81" s="606"/>
      <c r="CZ81" s="606"/>
      <c r="DA81" s="606"/>
      <c r="DB81" s="606"/>
      <c r="DC81" s="606"/>
      <c r="DD81" s="606"/>
      <c r="DE81" s="606"/>
      <c r="DF81" s="606"/>
      <c r="DG81" s="606"/>
      <c r="DH81" s="606"/>
      <c r="DI81" s="606"/>
      <c r="DJ81" s="606"/>
      <c r="DK81" s="606"/>
      <c r="DL81" s="606"/>
      <c r="DM81" s="606"/>
      <c r="DN81" s="606"/>
      <c r="DO81" s="606"/>
      <c r="DP81" s="606"/>
      <c r="DQ81" s="606"/>
      <c r="DR81" s="606"/>
      <c r="DS81" s="606"/>
      <c r="DT81" s="606"/>
      <c r="DU81" s="606"/>
      <c r="DV81" s="606"/>
      <c r="DW81" s="606"/>
    </row>
    <row r="82" spans="1:128" ht="15.75" customHeight="1" thickBot="1" x14ac:dyDescent="0.3">
      <c r="A82" s="6"/>
      <c r="B82" s="15"/>
      <c r="C82" s="430" t="s">
        <v>66</v>
      </c>
      <c r="D82" s="109"/>
      <c r="E82" s="17"/>
      <c r="F82" s="17"/>
      <c r="G82" s="51"/>
      <c r="H82" s="431"/>
      <c r="I82" s="54"/>
      <c r="J82" s="55"/>
      <c r="K82" s="325"/>
      <c r="L82" s="376" t="s">
        <v>6</v>
      </c>
      <c r="M82" s="444" t="s">
        <v>260</v>
      </c>
      <c r="N82" s="444"/>
      <c r="O82" s="443"/>
      <c r="P82" s="486"/>
      <c r="Q82" s="482" t="s">
        <v>329</v>
      </c>
      <c r="R82" s="296"/>
      <c r="S82" s="26" t="s">
        <v>395</v>
      </c>
      <c r="T82" s="296"/>
      <c r="U82" s="465">
        <f>BR89</f>
        <v>2325</v>
      </c>
      <c r="V82" s="424"/>
      <c r="W82" s="6"/>
      <c r="X82" s="471"/>
      <c r="Y82" s="471"/>
      <c r="Z82" s="471"/>
      <c r="AA82" s="471"/>
      <c r="AB82" s="471"/>
      <c r="AC82" s="471"/>
      <c r="AD82" s="471"/>
      <c r="AE82" s="471"/>
      <c r="AF82" s="471"/>
      <c r="AG82" s="471"/>
      <c r="AH82" s="471"/>
      <c r="AI82" s="471"/>
      <c r="AJ82" s="471"/>
      <c r="AK82" s="471"/>
      <c r="AL82" s="471"/>
      <c r="AM82" s="471"/>
      <c r="AN82" s="471"/>
      <c r="AO82" s="471"/>
      <c r="AP82" s="471"/>
      <c r="AQ82" s="471"/>
      <c r="AR82" s="471"/>
      <c r="AS82" s="471"/>
      <c r="AT82" s="471"/>
      <c r="AU82" s="471"/>
      <c r="AV82" s="471"/>
      <c r="AW82" s="471"/>
      <c r="AX82" s="471"/>
      <c r="AY82" s="471"/>
      <c r="AZ82" s="471"/>
      <c r="BA82" s="471"/>
      <c r="BB82" s="471"/>
      <c r="BC82" s="471"/>
      <c r="BD82" s="471"/>
      <c r="BE82" s="471"/>
      <c r="BF82" s="471"/>
      <c r="BG82" s="471"/>
      <c r="BH82" s="471"/>
      <c r="BI82" s="471"/>
      <c r="BJ82" s="471"/>
      <c r="BK82" s="471"/>
      <c r="BL82" s="868"/>
      <c r="BM82" s="856"/>
      <c r="BN82" s="905"/>
      <c r="BO82" s="856"/>
      <c r="BP82" s="914" t="s">
        <v>356</v>
      </c>
      <c r="BQ82" s="914"/>
      <c r="BR82" s="915" t="s">
        <v>359</v>
      </c>
      <c r="BS82" s="916">
        <f>U27</f>
        <v>160</v>
      </c>
      <c r="BT82" s="916">
        <f>U36</f>
        <v>5</v>
      </c>
      <c r="BU82" s="917">
        <f>U50</f>
        <v>1</v>
      </c>
      <c r="BV82" s="916">
        <f>U55</f>
        <v>1</v>
      </c>
      <c r="BW82" s="913">
        <f>U66</f>
        <v>105</v>
      </c>
      <c r="BX82" s="865"/>
      <c r="BY82" s="918">
        <f>CB82</f>
        <v>1</v>
      </c>
      <c r="BZ82" s="865"/>
      <c r="CA82" s="865"/>
      <c r="CB82" s="865">
        <f>IF(U46&lt;=1500,1,IF(U46&lt;=3000,0.92,IF(U46&lt;=4500,0.83,IF(U46&lt;=6000,0.75,IF(U46&lt;=7500,0.67,IF(U46&lt;=9000,0.58,0.5))))))</f>
        <v>1</v>
      </c>
      <c r="CC82" s="865"/>
      <c r="CD82" s="865"/>
      <c r="CE82" s="606"/>
      <c r="CF82" s="606"/>
      <c r="CG82" s="606"/>
      <c r="CH82" s="606"/>
      <c r="CI82" s="606"/>
      <c r="CJ82" s="606"/>
      <c r="CK82" s="606"/>
      <c r="CL82" s="606"/>
      <c r="CM82" s="606"/>
      <c r="CN82" s="606"/>
      <c r="CO82" s="606"/>
      <c r="CP82" s="606"/>
      <c r="CQ82" s="606"/>
      <c r="CR82" s="606"/>
      <c r="CS82" s="606"/>
      <c r="CT82" s="606"/>
      <c r="CU82" s="606"/>
      <c r="CV82" s="606"/>
      <c r="CW82" s="606"/>
      <c r="CX82" s="606"/>
      <c r="CY82" s="606"/>
      <c r="CZ82" s="606"/>
      <c r="DA82" s="606"/>
      <c r="DB82" s="606"/>
      <c r="DC82" s="606"/>
      <c r="DD82" s="606"/>
      <c r="DE82" s="606"/>
      <c r="DF82" s="606"/>
      <c r="DG82" s="606"/>
      <c r="DH82" s="606"/>
      <c r="DI82" s="606"/>
      <c r="DJ82" s="606"/>
      <c r="DK82" s="606"/>
      <c r="DL82" s="606"/>
      <c r="DM82" s="606"/>
      <c r="DN82" s="606"/>
      <c r="DO82" s="606"/>
      <c r="DP82" s="606"/>
      <c r="DQ82" s="606"/>
      <c r="DR82" s="606"/>
      <c r="DS82" s="606"/>
      <c r="DT82" s="606"/>
      <c r="DU82" s="606"/>
      <c r="DV82" s="606"/>
      <c r="DW82" s="606"/>
      <c r="DX82" s="606"/>
    </row>
    <row r="83" spans="1:128" ht="15.75" customHeight="1" thickBot="1" x14ac:dyDescent="0.3">
      <c r="A83" s="1"/>
      <c r="B83" s="15"/>
      <c r="C83" s="514"/>
      <c r="D83" s="17"/>
      <c r="E83" s="17"/>
      <c r="F83" s="17"/>
      <c r="G83" s="51"/>
      <c r="H83" s="17"/>
      <c r="I83" s="18"/>
      <c r="J83" s="55"/>
      <c r="K83" s="325"/>
      <c r="L83" s="376"/>
      <c r="M83" s="444"/>
      <c r="N83" s="444"/>
      <c r="O83" s="443"/>
      <c r="P83" s="482"/>
      <c r="Q83" s="445"/>
      <c r="R83" s="296"/>
      <c r="S83" s="296"/>
      <c r="T83" s="296"/>
      <c r="U83" s="758"/>
      <c r="V83" s="424"/>
      <c r="W83" s="6"/>
      <c r="X83" s="471"/>
      <c r="Y83" s="471"/>
      <c r="Z83" s="471"/>
      <c r="AA83" s="471"/>
      <c r="AB83" s="471"/>
      <c r="AC83" s="471"/>
      <c r="AD83" s="471"/>
      <c r="AE83" s="471"/>
      <c r="AF83" s="471"/>
      <c r="AG83" s="471"/>
      <c r="AH83" s="471"/>
      <c r="AI83" s="471"/>
      <c r="AJ83" s="471"/>
      <c r="AK83" s="471"/>
      <c r="AL83" s="471"/>
      <c r="AM83" s="471"/>
      <c r="AN83" s="471"/>
      <c r="AO83" s="471"/>
      <c r="AP83" s="471"/>
      <c r="AQ83" s="471"/>
      <c r="AR83" s="471"/>
      <c r="AS83" s="471"/>
      <c r="AT83" s="471"/>
      <c r="AU83" s="471"/>
      <c r="AV83" s="471"/>
      <c r="AW83" s="471"/>
      <c r="AX83" s="471"/>
      <c r="AY83" s="471"/>
      <c r="AZ83" s="471"/>
      <c r="BA83" s="471"/>
      <c r="BB83" s="471"/>
      <c r="BC83" s="471"/>
      <c r="BD83" s="471"/>
      <c r="BE83" s="471"/>
      <c r="BF83" s="471"/>
      <c r="BG83" s="471"/>
      <c r="BH83" s="471"/>
      <c r="BI83" s="471"/>
      <c r="BJ83" s="471"/>
      <c r="BK83" s="798"/>
      <c r="BL83" s="856"/>
      <c r="BM83" s="856"/>
      <c r="BN83" s="856"/>
      <c r="BO83" s="856"/>
      <c r="BP83" s="915"/>
      <c r="BQ83" s="915"/>
      <c r="BR83" s="915" t="s">
        <v>358</v>
      </c>
      <c r="BS83" s="916">
        <f>U31</f>
        <v>0</v>
      </c>
      <c r="BT83" s="916">
        <f>U38</f>
        <v>15</v>
      </c>
      <c r="BU83" s="917">
        <f>U52</f>
        <v>0</v>
      </c>
      <c r="BV83" s="916">
        <f>U55</f>
        <v>1</v>
      </c>
      <c r="BW83" s="913">
        <f>U66</f>
        <v>105</v>
      </c>
      <c r="BX83" s="865"/>
      <c r="BY83" s="918">
        <f>CB82</f>
        <v>1</v>
      </c>
      <c r="BZ83" s="865"/>
      <c r="CA83" s="865"/>
      <c r="CB83" s="865"/>
      <c r="CC83" s="865"/>
      <c r="CD83" s="865"/>
      <c r="CE83" s="606"/>
      <c r="CF83" s="606"/>
      <c r="CG83" s="606"/>
      <c r="CH83" s="606"/>
      <c r="CI83" s="606"/>
      <c r="CJ83" s="606"/>
      <c r="CK83" s="606"/>
      <c r="CL83" s="606"/>
      <c r="CM83" s="606"/>
      <c r="CN83" s="606"/>
      <c r="CO83" s="606"/>
      <c r="CP83" s="606"/>
      <c r="CQ83" s="606"/>
      <c r="CR83" s="606"/>
      <c r="CS83" s="606"/>
      <c r="CT83" s="606"/>
      <c r="CU83" s="606"/>
      <c r="CV83" s="606"/>
      <c r="CW83" s="606"/>
      <c r="CX83" s="606"/>
      <c r="CY83" s="606"/>
      <c r="CZ83" s="606"/>
      <c r="DA83" s="606"/>
      <c r="DB83" s="606"/>
      <c r="DC83" s="606"/>
      <c r="DD83" s="606"/>
      <c r="DE83" s="606"/>
      <c r="DF83" s="606"/>
      <c r="DG83" s="606"/>
      <c r="DH83" s="606"/>
      <c r="DI83" s="606"/>
      <c r="DJ83" s="606"/>
      <c r="DK83" s="606"/>
      <c r="DL83" s="606"/>
      <c r="DM83" s="606"/>
      <c r="DN83" s="606"/>
      <c r="DO83" s="606"/>
      <c r="DP83" s="606"/>
      <c r="DQ83" s="606"/>
      <c r="DR83" s="606"/>
      <c r="DS83" s="606"/>
      <c r="DT83" s="606"/>
      <c r="DU83" s="606"/>
      <c r="DV83" s="606"/>
      <c r="DW83" s="606"/>
      <c r="DX83" s="606"/>
    </row>
    <row r="84" spans="1:128" ht="15" customHeight="1" thickBot="1" x14ac:dyDescent="0.3">
      <c r="A84" s="1"/>
      <c r="B84" s="15"/>
      <c r="C84" s="994" t="s">
        <v>68</v>
      </c>
      <c r="D84" s="995"/>
      <c r="E84" s="1002"/>
      <c r="F84" s="1034" t="s">
        <v>265</v>
      </c>
      <c r="G84" s="1035"/>
      <c r="H84" s="1036"/>
      <c r="I84" s="54"/>
      <c r="J84" s="55"/>
      <c r="K84" s="650"/>
      <c r="L84" s="376"/>
      <c r="M84" s="482"/>
      <c r="N84" s="445"/>
      <c r="O84" s="443"/>
      <c r="P84" s="443"/>
      <c r="Q84" s="443"/>
      <c r="R84" s="443"/>
      <c r="S84" s="296"/>
      <c r="T84" s="25"/>
      <c r="U84" s="759"/>
      <c r="V84" s="424"/>
      <c r="W84" s="6"/>
      <c r="X84" s="471"/>
      <c r="Y84" s="471"/>
      <c r="Z84" s="471"/>
      <c r="AA84" s="471"/>
      <c r="AB84" s="471"/>
      <c r="AC84" s="471"/>
      <c r="AD84" s="471"/>
      <c r="AE84" s="471"/>
      <c r="AF84" s="471"/>
      <c r="AG84" s="471"/>
      <c r="AH84" s="471"/>
      <c r="AI84" s="471"/>
      <c r="AJ84" s="471"/>
      <c r="AK84" s="471"/>
      <c r="AL84" s="471"/>
      <c r="AM84" s="471"/>
      <c r="AN84" s="471"/>
      <c r="AO84" s="471"/>
      <c r="AP84" s="471"/>
      <c r="AQ84" s="471"/>
      <c r="AR84" s="471"/>
      <c r="AS84" s="471"/>
      <c r="AT84" s="471"/>
      <c r="AU84" s="471"/>
      <c r="AV84" s="471"/>
      <c r="AW84" s="471"/>
      <c r="AX84" s="471"/>
      <c r="AY84" s="471"/>
      <c r="AZ84" s="471"/>
      <c r="BA84" s="471"/>
      <c r="BB84" s="471"/>
      <c r="BC84" s="471"/>
      <c r="BD84" s="471"/>
      <c r="BE84" s="471"/>
      <c r="BF84" s="471"/>
      <c r="BG84" s="471"/>
      <c r="BH84" s="471"/>
      <c r="BI84" s="471"/>
      <c r="BJ84" s="471"/>
      <c r="BK84" s="798"/>
      <c r="BL84" s="884" t="s">
        <v>61</v>
      </c>
      <c r="BM84" s="856"/>
      <c r="BN84" s="919"/>
      <c r="BO84" s="856"/>
      <c r="BP84" s="914" t="s">
        <v>357</v>
      </c>
      <c r="BQ84" s="914"/>
      <c r="BR84" s="915" t="s">
        <v>359</v>
      </c>
      <c r="BS84" s="920">
        <v>70</v>
      </c>
      <c r="BT84" s="920">
        <v>15</v>
      </c>
      <c r="BU84" s="921">
        <v>0.3</v>
      </c>
      <c r="BV84" s="920">
        <v>0.92</v>
      </c>
      <c r="BW84" s="922">
        <v>65</v>
      </c>
      <c r="BX84" s="865"/>
      <c r="BY84" s="865"/>
      <c r="BZ84" s="865"/>
      <c r="CA84" s="865"/>
      <c r="CB84" s="865"/>
      <c r="CC84" s="865"/>
      <c r="CD84" s="865"/>
      <c r="CE84" s="606"/>
      <c r="CF84" s="606"/>
      <c r="CG84" s="606"/>
      <c r="CH84" s="606"/>
      <c r="CI84" s="606"/>
      <c r="CJ84" s="606"/>
      <c r="CK84" s="606"/>
      <c r="CL84" s="606"/>
      <c r="CM84" s="606"/>
      <c r="CN84" s="606"/>
      <c r="CO84" s="606"/>
      <c r="CP84" s="606"/>
      <c r="CQ84" s="606"/>
      <c r="CR84" s="606"/>
      <c r="CS84" s="606"/>
      <c r="CT84" s="606"/>
      <c r="CU84" s="606"/>
      <c r="CV84" s="606"/>
      <c r="CW84" s="606"/>
      <c r="CX84" s="606"/>
      <c r="CY84" s="606"/>
      <c r="CZ84" s="606"/>
      <c r="DA84" s="606"/>
      <c r="DB84" s="606"/>
      <c r="DC84" s="606"/>
      <c r="DD84" s="606"/>
      <c r="DE84" s="606"/>
      <c r="DF84" s="606"/>
      <c r="DG84" s="606"/>
      <c r="DH84" s="606"/>
      <c r="DI84" s="606"/>
      <c r="DJ84" s="606"/>
      <c r="DK84" s="606"/>
      <c r="DL84" s="606"/>
      <c r="DM84" s="606"/>
      <c r="DN84" s="606"/>
      <c r="DO84" s="606"/>
      <c r="DP84" s="606"/>
      <c r="DQ84" s="606"/>
      <c r="DR84" s="606"/>
      <c r="DS84" s="606"/>
      <c r="DT84" s="606"/>
      <c r="DU84" s="606"/>
      <c r="DV84" s="606"/>
      <c r="DW84" s="606"/>
      <c r="DX84" s="606"/>
    </row>
    <row r="85" spans="1:128" ht="15.75" customHeight="1" thickBot="1" x14ac:dyDescent="0.3">
      <c r="A85" s="1"/>
      <c r="B85" s="15"/>
      <c r="C85" s="1003"/>
      <c r="D85" s="1004"/>
      <c r="E85" s="1005"/>
      <c r="F85" s="520" t="s">
        <v>69</v>
      </c>
      <c r="G85" s="1037" t="s">
        <v>70</v>
      </c>
      <c r="H85" s="1038"/>
      <c r="I85" s="54"/>
      <c r="J85" s="6"/>
      <c r="K85" s="653"/>
      <c r="L85" s="376" t="s">
        <v>22</v>
      </c>
      <c r="M85" s="376" t="s">
        <v>278</v>
      </c>
      <c r="N85" s="376"/>
      <c r="O85" s="300"/>
      <c r="P85" s="486"/>
      <c r="Q85" s="300" t="s">
        <v>55</v>
      </c>
      <c r="R85" s="1012" t="s">
        <v>63</v>
      </c>
      <c r="S85" s="1013"/>
      <c r="T85" s="443"/>
      <c r="U85" s="750"/>
      <c r="V85" s="424"/>
      <c r="W85" s="6"/>
      <c r="X85" s="471"/>
      <c r="Y85" s="471"/>
      <c r="Z85" s="471"/>
      <c r="AA85" s="471"/>
      <c r="AB85" s="471"/>
      <c r="AC85" s="471"/>
      <c r="AD85" s="471"/>
      <c r="AE85" s="471"/>
      <c r="AF85" s="471"/>
      <c r="AG85" s="471"/>
      <c r="AH85" s="471"/>
      <c r="AI85" s="471"/>
      <c r="AJ85" s="471"/>
      <c r="AK85" s="471"/>
      <c r="AL85" s="471"/>
      <c r="AM85" s="471"/>
      <c r="AN85" s="471"/>
      <c r="AO85" s="471"/>
      <c r="AP85" s="471"/>
      <c r="AQ85" s="471"/>
      <c r="AR85" s="471"/>
      <c r="AS85" s="471"/>
      <c r="AT85" s="471"/>
      <c r="AU85" s="471"/>
      <c r="AV85" s="471"/>
      <c r="AW85" s="471"/>
      <c r="AX85" s="471"/>
      <c r="AY85" s="471"/>
      <c r="AZ85" s="471"/>
      <c r="BA85" s="471"/>
      <c r="BB85" s="471"/>
      <c r="BC85" s="471"/>
      <c r="BD85" s="471"/>
      <c r="BE85" s="471"/>
      <c r="BF85" s="471"/>
      <c r="BG85" s="471"/>
      <c r="BH85" s="471"/>
      <c r="BI85" s="471"/>
      <c r="BJ85" s="471"/>
      <c r="BK85" s="798"/>
      <c r="BL85" s="884" t="s">
        <v>63</v>
      </c>
      <c r="BM85" s="919"/>
      <c r="BN85" s="856"/>
      <c r="BO85" s="856"/>
      <c r="BP85" s="915"/>
      <c r="BQ85" s="915"/>
      <c r="BR85" s="915" t="s">
        <v>358</v>
      </c>
      <c r="BS85" s="920">
        <v>50</v>
      </c>
      <c r="BT85" s="920">
        <v>12</v>
      </c>
      <c r="BU85" s="921">
        <v>0.2</v>
      </c>
      <c r="BV85" s="920">
        <v>0.92</v>
      </c>
      <c r="BW85" s="922">
        <v>65</v>
      </c>
      <c r="BX85" s="865"/>
      <c r="BY85" s="865"/>
      <c r="BZ85" s="865"/>
      <c r="CA85" s="865"/>
      <c r="CB85" s="865"/>
      <c r="CC85" s="865"/>
      <c r="CD85" s="865"/>
      <c r="CE85" s="606"/>
      <c r="CF85" s="606"/>
      <c r="CG85" s="606"/>
      <c r="CH85" s="606"/>
      <c r="CI85" s="606"/>
      <c r="CJ85" s="606"/>
      <c r="CK85" s="606"/>
      <c r="CL85" s="606"/>
      <c r="CM85" s="606"/>
      <c r="CN85" s="606"/>
      <c r="CO85" s="606"/>
      <c r="CP85" s="606"/>
      <c r="CQ85" s="606"/>
      <c r="CR85" s="606"/>
      <c r="CS85" s="606"/>
      <c r="CT85" s="606"/>
      <c r="CU85" s="606"/>
      <c r="CV85" s="606"/>
      <c r="CW85" s="606"/>
      <c r="CX85" s="606"/>
      <c r="CY85" s="606"/>
      <c r="CZ85" s="606"/>
      <c r="DA85" s="606"/>
      <c r="DB85" s="606"/>
      <c r="DC85" s="606"/>
      <c r="DD85" s="606"/>
      <c r="DE85" s="606"/>
      <c r="DF85" s="606"/>
      <c r="DG85" s="606"/>
      <c r="DH85" s="606"/>
      <c r="DI85" s="606"/>
      <c r="DJ85" s="606"/>
      <c r="DK85" s="606"/>
      <c r="DL85" s="606"/>
      <c r="DM85" s="606"/>
      <c r="DN85" s="606"/>
      <c r="DO85" s="606"/>
      <c r="DP85" s="606"/>
      <c r="DQ85" s="606"/>
      <c r="DR85" s="606"/>
      <c r="DS85" s="606"/>
      <c r="DT85" s="606"/>
      <c r="DU85" s="606"/>
      <c r="DV85" s="606"/>
      <c r="DW85" s="606"/>
      <c r="DX85" s="606"/>
    </row>
    <row r="86" spans="1:128" ht="15.75" customHeight="1" x14ac:dyDescent="0.25">
      <c r="A86" s="1"/>
      <c r="B86" s="15"/>
      <c r="C86" s="965" t="s">
        <v>71</v>
      </c>
      <c r="D86" s="1033"/>
      <c r="E86" s="966"/>
      <c r="F86" s="593">
        <v>1.2</v>
      </c>
      <c r="G86" s="963">
        <v>2.2000000000000002</v>
      </c>
      <c r="H86" s="964"/>
      <c r="I86" s="54"/>
      <c r="J86" s="6"/>
      <c r="K86" s="653"/>
      <c r="L86" s="376"/>
      <c r="M86" s="25"/>
      <c r="N86" s="25"/>
      <c r="O86" s="25"/>
      <c r="P86" s="449"/>
      <c r="Q86" s="449"/>
      <c r="R86" s="433"/>
      <c r="S86" s="296"/>
      <c r="T86" s="443"/>
      <c r="U86" s="450"/>
      <c r="V86" s="424"/>
      <c r="W86" s="6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1"/>
      <c r="AL86" s="471"/>
      <c r="AM86" s="471"/>
      <c r="AN86" s="471"/>
      <c r="AO86" s="471"/>
      <c r="AP86" s="471"/>
      <c r="AQ86" s="471"/>
      <c r="AR86" s="471"/>
      <c r="AS86" s="471"/>
      <c r="AT86" s="471"/>
      <c r="AU86" s="471"/>
      <c r="AV86" s="471"/>
      <c r="AW86" s="471"/>
      <c r="AX86" s="471"/>
      <c r="AY86" s="471"/>
      <c r="AZ86" s="471"/>
      <c r="BA86" s="471"/>
      <c r="BB86" s="471"/>
      <c r="BC86" s="471"/>
      <c r="BD86" s="471"/>
      <c r="BE86" s="471"/>
      <c r="BF86" s="471"/>
      <c r="BG86" s="471"/>
      <c r="BH86" s="471"/>
      <c r="BI86" s="471"/>
      <c r="BJ86" s="471"/>
      <c r="BK86" s="798"/>
      <c r="BL86" s="919"/>
      <c r="BM86" s="856"/>
      <c r="BN86" s="856"/>
      <c r="BO86" s="900"/>
      <c r="BP86" s="865"/>
      <c r="BQ86" s="865"/>
      <c r="BR86" s="865"/>
      <c r="BS86" s="856"/>
      <c r="BT86" s="856"/>
      <c r="BU86" s="856"/>
      <c r="BV86" s="840"/>
      <c r="BW86" s="840"/>
      <c r="BX86" s="840"/>
      <c r="BY86" s="840"/>
      <c r="BZ86" s="865"/>
      <c r="CA86" s="865"/>
      <c r="CB86" s="865"/>
      <c r="CC86" s="865"/>
      <c r="CD86" s="865"/>
      <c r="CE86" s="606"/>
      <c r="CF86" s="606"/>
      <c r="CG86" s="606"/>
      <c r="CH86" s="606"/>
      <c r="CI86" s="606"/>
      <c r="CJ86" s="606"/>
      <c r="CK86" s="606"/>
      <c r="CL86" s="606"/>
      <c r="CM86" s="606"/>
      <c r="CN86" s="606"/>
      <c r="CO86" s="606"/>
      <c r="CP86" s="606"/>
      <c r="CQ86" s="606"/>
      <c r="CR86" s="606"/>
      <c r="CS86" s="606"/>
      <c r="CT86" s="606"/>
      <c r="CU86" s="606"/>
      <c r="CV86" s="606"/>
      <c r="CW86" s="606"/>
      <c r="CX86" s="606"/>
      <c r="CY86" s="606"/>
      <c r="CZ86" s="606"/>
      <c r="DA86" s="606"/>
      <c r="DB86" s="606"/>
      <c r="DC86" s="606"/>
      <c r="DD86" s="606"/>
      <c r="DE86" s="606"/>
      <c r="DF86" s="606"/>
      <c r="DG86" s="606"/>
      <c r="DH86" s="606"/>
      <c r="DI86" s="606"/>
      <c r="DJ86" s="606"/>
      <c r="DK86" s="606"/>
      <c r="DL86" s="606"/>
      <c r="DM86" s="606"/>
      <c r="DN86" s="606"/>
      <c r="DO86" s="606"/>
      <c r="DP86" s="606"/>
      <c r="DQ86" s="606"/>
      <c r="DR86" s="606"/>
      <c r="DS86" s="606"/>
      <c r="DT86" s="606"/>
      <c r="DU86" s="606"/>
      <c r="DV86" s="606"/>
      <c r="DW86" s="606"/>
      <c r="DX86" s="606"/>
    </row>
    <row r="87" spans="1:128" ht="15.75" customHeight="1" thickBot="1" x14ac:dyDescent="0.3">
      <c r="A87" s="1"/>
      <c r="B87" s="15"/>
      <c r="C87" s="965" t="s">
        <v>74</v>
      </c>
      <c r="D87" s="1033"/>
      <c r="E87" s="966"/>
      <c r="F87" s="593">
        <v>1.5</v>
      </c>
      <c r="G87" s="965">
        <v>2.5</v>
      </c>
      <c r="H87" s="966"/>
      <c r="I87" s="18"/>
      <c r="J87" s="6"/>
      <c r="K87" s="653"/>
      <c r="L87" s="376"/>
      <c r="M87" s="25"/>
      <c r="N87" s="25"/>
      <c r="O87" s="25"/>
      <c r="P87" s="449"/>
      <c r="Q87" s="449"/>
      <c r="R87" s="433"/>
      <c r="S87" s="296"/>
      <c r="T87" s="443"/>
      <c r="U87" s="450"/>
      <c r="V87" s="424"/>
      <c r="W87" s="6"/>
      <c r="X87" s="471"/>
      <c r="Y87" s="471"/>
      <c r="Z87" s="471"/>
      <c r="AA87" s="471"/>
      <c r="AB87" s="471"/>
      <c r="AC87" s="471"/>
      <c r="AD87" s="471"/>
      <c r="AE87" s="471"/>
      <c r="AF87" s="471"/>
      <c r="AG87" s="471"/>
      <c r="AH87" s="471"/>
      <c r="AI87" s="471"/>
      <c r="AJ87" s="471"/>
      <c r="AK87" s="471"/>
      <c r="AL87" s="471"/>
      <c r="AM87" s="471"/>
      <c r="AN87" s="471"/>
      <c r="AO87" s="471"/>
      <c r="AP87" s="471"/>
      <c r="AQ87" s="471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1"/>
      <c r="BI87" s="471"/>
      <c r="BJ87" s="471"/>
      <c r="BK87" s="798"/>
      <c r="BL87" s="856"/>
      <c r="BM87" s="856"/>
      <c r="BN87" s="856"/>
      <c r="BO87" s="919"/>
      <c r="BP87" s="900"/>
      <c r="BQ87" s="856"/>
      <c r="BR87" s="856"/>
      <c r="BS87" s="856"/>
      <c r="BT87" s="856"/>
      <c r="BU87" s="856"/>
      <c r="BV87" s="840"/>
      <c r="BW87" s="840"/>
      <c r="BX87" s="840"/>
      <c r="BY87" s="840"/>
      <c r="BZ87" s="865"/>
      <c r="CA87" s="865"/>
      <c r="CB87" s="865"/>
      <c r="CC87" s="865"/>
      <c r="CD87" s="865"/>
      <c r="CE87" s="606"/>
      <c r="CF87" s="606"/>
      <c r="CG87" s="606"/>
      <c r="CH87" s="606"/>
      <c r="CI87" s="606"/>
      <c r="CJ87" s="606"/>
      <c r="CK87" s="606"/>
      <c r="CL87" s="606"/>
      <c r="CM87" s="606"/>
      <c r="CN87" s="606"/>
      <c r="CO87" s="606"/>
      <c r="CP87" s="606"/>
      <c r="CQ87" s="606"/>
      <c r="CR87" s="606"/>
      <c r="CS87" s="606"/>
      <c r="CT87" s="606"/>
      <c r="CU87" s="606"/>
      <c r="CV87" s="606"/>
      <c r="CW87" s="606"/>
      <c r="CX87" s="606"/>
      <c r="CY87" s="606"/>
      <c r="CZ87" s="606"/>
      <c r="DA87" s="606"/>
      <c r="DB87" s="606"/>
      <c r="DC87" s="606"/>
      <c r="DD87" s="606"/>
      <c r="DE87" s="606"/>
      <c r="DF87" s="606"/>
      <c r="DG87" s="606"/>
      <c r="DH87" s="606"/>
      <c r="DI87" s="606"/>
      <c r="DJ87" s="606"/>
      <c r="DK87" s="606"/>
      <c r="DL87" s="606"/>
      <c r="DM87" s="606"/>
      <c r="DN87" s="606"/>
      <c r="DO87" s="606"/>
      <c r="DP87" s="606"/>
      <c r="DQ87" s="606"/>
      <c r="DR87" s="606"/>
      <c r="DS87" s="606"/>
      <c r="DT87" s="606"/>
      <c r="DU87" s="606"/>
      <c r="DV87" s="606"/>
      <c r="DW87" s="606"/>
      <c r="DX87" s="606"/>
    </row>
    <row r="88" spans="1:128" ht="19.5" customHeight="1" thickBot="1" x14ac:dyDescent="0.3">
      <c r="A88" s="1"/>
      <c r="B88" s="15"/>
      <c r="C88" s="967" t="s">
        <v>77</v>
      </c>
      <c r="D88" s="1001"/>
      <c r="E88" s="968"/>
      <c r="F88" s="595">
        <v>1.8</v>
      </c>
      <c r="G88" s="967">
        <v>2.8</v>
      </c>
      <c r="H88" s="968"/>
      <c r="I88" s="18"/>
      <c r="J88" s="6"/>
      <c r="K88" s="653"/>
      <c r="L88" s="376" t="s">
        <v>29</v>
      </c>
      <c r="M88" s="26" t="s">
        <v>78</v>
      </c>
      <c r="N88" s="25"/>
      <c r="O88" s="25"/>
      <c r="P88" s="449"/>
      <c r="Q88" s="449"/>
      <c r="R88" s="434" t="s">
        <v>79</v>
      </c>
      <c r="S88" s="435" t="s">
        <v>384</v>
      </c>
      <c r="T88" s="1062" t="s">
        <v>81</v>
      </c>
      <c r="U88" s="1063"/>
      <c r="V88" s="424"/>
      <c r="W88" s="6"/>
      <c r="X88" s="471"/>
      <c r="Y88" s="471"/>
      <c r="Z88" s="471"/>
      <c r="AA88" s="471"/>
      <c r="AB88" s="471"/>
      <c r="AC88" s="471"/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1"/>
      <c r="BH88" s="471"/>
      <c r="BI88" s="471"/>
      <c r="BJ88" s="471"/>
      <c r="BK88" s="798"/>
      <c r="BL88" s="856"/>
      <c r="BM88" s="856"/>
      <c r="BN88" s="856"/>
      <c r="BO88" s="919"/>
      <c r="BP88" s="919"/>
      <c r="BQ88" s="856"/>
      <c r="BR88" s="856"/>
      <c r="BS88" s="856"/>
      <c r="BT88" s="856"/>
      <c r="BU88" s="856"/>
      <c r="BV88" s="840"/>
      <c r="BW88" s="840"/>
      <c r="BX88" s="840"/>
      <c r="BY88" s="840"/>
      <c r="BZ88" s="865"/>
      <c r="CA88" s="865"/>
      <c r="CB88" s="865"/>
      <c r="CC88" s="865"/>
      <c r="CD88" s="865"/>
      <c r="CE88" s="606"/>
      <c r="CF88" s="606"/>
      <c r="CG88" s="606"/>
      <c r="CH88" s="606"/>
      <c r="CI88" s="606"/>
      <c r="CJ88" s="606"/>
      <c r="CK88" s="606"/>
      <c r="CL88" s="606"/>
      <c r="CM88" s="606"/>
      <c r="CN88" s="606"/>
      <c r="CO88" s="606"/>
      <c r="CP88" s="606"/>
      <c r="CQ88" s="606"/>
      <c r="CR88" s="606"/>
      <c r="CS88" s="606"/>
      <c r="CT88" s="606"/>
      <c r="CU88" s="606"/>
      <c r="CV88" s="606"/>
      <c r="CW88" s="606"/>
      <c r="CX88" s="606"/>
      <c r="CY88" s="606"/>
      <c r="CZ88" s="606"/>
      <c r="DA88" s="606"/>
      <c r="DB88" s="606"/>
      <c r="DC88" s="606"/>
      <c r="DD88" s="606"/>
      <c r="DE88" s="606"/>
      <c r="DF88" s="606"/>
      <c r="DG88" s="606"/>
      <c r="DH88" s="606"/>
      <c r="DI88" s="606"/>
      <c r="DJ88" s="606"/>
      <c r="DK88" s="606"/>
      <c r="DL88" s="606"/>
      <c r="DM88" s="606"/>
      <c r="DN88" s="606"/>
      <c r="DO88" s="606"/>
      <c r="DP88" s="606"/>
      <c r="DQ88" s="606"/>
      <c r="DR88" s="606"/>
      <c r="DS88" s="606"/>
      <c r="DT88" s="606"/>
      <c r="DU88" s="606"/>
      <c r="DV88" s="606"/>
      <c r="DW88" s="606"/>
      <c r="DX88" s="606"/>
    </row>
    <row r="89" spans="1:128" ht="15.75" customHeight="1" thickBot="1" x14ac:dyDescent="0.3">
      <c r="A89" s="1"/>
      <c r="B89" s="15"/>
      <c r="C89" s="514"/>
      <c r="D89" s="17"/>
      <c r="E89" s="17"/>
      <c r="F89" s="17"/>
      <c r="G89" s="51"/>
      <c r="H89" s="17"/>
      <c r="I89" s="18"/>
      <c r="J89" s="6"/>
      <c r="K89" s="653"/>
      <c r="L89" s="376"/>
      <c r="M89" s="25"/>
      <c r="N89" s="25"/>
      <c r="O89" s="25"/>
      <c r="P89" s="452" t="s">
        <v>135</v>
      </c>
      <c r="Q89" s="449"/>
      <c r="R89" s="58">
        <v>2.2000000000000002</v>
      </c>
      <c r="S89" s="58">
        <v>1.6</v>
      </c>
      <c r="T89" s="1064">
        <f>((3.1416*S89*S89)/4)*R89*1000</f>
        <v>4423.3728000000001</v>
      </c>
      <c r="U89" s="1065"/>
      <c r="V89" s="424"/>
      <c r="W89" s="6"/>
      <c r="X89" s="471"/>
      <c r="Y89" s="471"/>
      <c r="Z89" s="471"/>
      <c r="AA89" s="471"/>
      <c r="AB89" s="471"/>
      <c r="AC89" s="471"/>
      <c r="AD89" s="471"/>
      <c r="AE89" s="471"/>
      <c r="AF89" s="471"/>
      <c r="AG89" s="471"/>
      <c r="AH89" s="471"/>
      <c r="AI89" s="471"/>
      <c r="AJ89" s="471"/>
      <c r="AK89" s="471"/>
      <c r="AL89" s="471"/>
      <c r="AM89" s="471"/>
      <c r="AN89" s="471"/>
      <c r="AO89" s="471"/>
      <c r="AP89" s="471"/>
      <c r="AQ89" s="471"/>
      <c r="AR89" s="471"/>
      <c r="AS89" s="471"/>
      <c r="AT89" s="471"/>
      <c r="AU89" s="471"/>
      <c r="AV89" s="471"/>
      <c r="AW89" s="471"/>
      <c r="AX89" s="471"/>
      <c r="AY89" s="471"/>
      <c r="AZ89" s="471"/>
      <c r="BA89" s="471"/>
      <c r="BB89" s="471"/>
      <c r="BC89" s="471"/>
      <c r="BD89" s="471"/>
      <c r="BE89" s="471"/>
      <c r="BF89" s="471"/>
      <c r="BG89" s="471"/>
      <c r="BH89" s="471"/>
      <c r="BI89" s="471"/>
      <c r="BJ89" s="471"/>
      <c r="BK89" s="798"/>
      <c r="BL89" s="856"/>
      <c r="BM89" s="856"/>
      <c r="BN89" s="875"/>
      <c r="BO89" s="874"/>
      <c r="BP89" s="923" t="s">
        <v>337</v>
      </c>
      <c r="BQ89" s="856"/>
      <c r="BR89" s="924">
        <f>1000+((BT82*((BS82*BV82)+(BU82*BW82)))+(BT83*((BS83*BV83)+(BU83*BW83))))</f>
        <v>2325</v>
      </c>
      <c r="BS89" s="900"/>
      <c r="BT89" s="900"/>
      <c r="BU89" s="900"/>
      <c r="BV89" s="840"/>
      <c r="BW89" s="840"/>
      <c r="BX89" s="840"/>
      <c r="BY89" s="840"/>
      <c r="BZ89" s="865"/>
      <c r="CA89" s="865"/>
      <c r="CB89" s="865"/>
      <c r="CC89" s="865"/>
      <c r="CD89" s="865"/>
      <c r="CE89" s="606"/>
      <c r="CF89" s="606"/>
      <c r="CG89" s="606"/>
      <c r="CH89" s="606"/>
      <c r="CI89" s="606"/>
      <c r="CJ89" s="606"/>
      <c r="CK89" s="606"/>
      <c r="CL89" s="606"/>
      <c r="CM89" s="606"/>
      <c r="CN89" s="606"/>
      <c r="CO89" s="606"/>
      <c r="CP89" s="606"/>
      <c r="CQ89" s="606"/>
      <c r="CR89" s="606"/>
      <c r="CS89" s="606"/>
      <c r="CT89" s="606"/>
      <c r="CU89" s="606"/>
      <c r="CV89" s="606"/>
      <c r="CW89" s="606"/>
      <c r="CX89" s="606"/>
      <c r="CY89" s="606"/>
      <c r="CZ89" s="606"/>
      <c r="DA89" s="606"/>
      <c r="DB89" s="606"/>
      <c r="DC89" s="606"/>
      <c r="DD89" s="606"/>
      <c r="DE89" s="606"/>
      <c r="DF89" s="606"/>
      <c r="DG89" s="606"/>
      <c r="DH89" s="606"/>
      <c r="DI89" s="606"/>
      <c r="DJ89" s="606"/>
      <c r="DK89" s="606"/>
      <c r="DL89" s="606"/>
      <c r="DM89" s="606"/>
      <c r="DN89" s="606"/>
      <c r="DO89" s="606"/>
      <c r="DP89" s="606"/>
      <c r="DQ89" s="606"/>
      <c r="DR89" s="606"/>
      <c r="DS89" s="606"/>
      <c r="DT89" s="606"/>
      <c r="DU89" s="606"/>
      <c r="DV89" s="606"/>
      <c r="DW89" s="606"/>
      <c r="DX89" s="606"/>
    </row>
    <row r="90" spans="1:128" ht="15.75" customHeight="1" thickBot="1" x14ac:dyDescent="0.3">
      <c r="A90" s="1"/>
      <c r="B90" s="503"/>
      <c r="C90" s="680" t="s">
        <v>224</v>
      </c>
      <c r="D90" s="429" t="s">
        <v>194</v>
      </c>
      <c r="E90" s="506"/>
      <c r="F90" s="506"/>
      <c r="G90" s="51"/>
      <c r="H90" s="59"/>
      <c r="I90" s="18"/>
      <c r="J90" s="6"/>
      <c r="K90" s="653"/>
      <c r="L90" s="376"/>
      <c r="M90" s="433"/>
      <c r="N90" s="433"/>
      <c r="O90" s="433"/>
      <c r="P90" s="433"/>
      <c r="Q90" s="433"/>
      <c r="R90" s="433"/>
      <c r="S90" s="296"/>
      <c r="T90" s="433"/>
      <c r="U90" s="443"/>
      <c r="V90" s="424"/>
      <c r="W90" s="6"/>
      <c r="X90" s="471"/>
      <c r="Y90" s="810"/>
      <c r="Z90" s="471"/>
      <c r="AA90" s="471"/>
      <c r="AB90" s="471"/>
      <c r="AC90" s="471"/>
      <c r="AD90" s="471"/>
      <c r="AE90" s="471"/>
      <c r="AF90" s="471"/>
      <c r="AG90" s="471"/>
      <c r="AH90" s="471"/>
      <c r="AI90" s="471"/>
      <c r="AJ90" s="471"/>
      <c r="AK90" s="471"/>
      <c r="AL90" s="471"/>
      <c r="AM90" s="471"/>
      <c r="AN90" s="471"/>
      <c r="AO90" s="471"/>
      <c r="AP90" s="471"/>
      <c r="AQ90" s="471"/>
      <c r="AR90" s="471"/>
      <c r="AS90" s="471"/>
      <c r="AT90" s="471"/>
      <c r="AU90" s="471"/>
      <c r="AV90" s="471"/>
      <c r="AW90" s="471"/>
      <c r="AX90" s="471"/>
      <c r="AY90" s="471"/>
      <c r="AZ90" s="471"/>
      <c r="BA90" s="471"/>
      <c r="BB90" s="471"/>
      <c r="BC90" s="471"/>
      <c r="BD90" s="471"/>
      <c r="BE90" s="471"/>
      <c r="BF90" s="471"/>
      <c r="BG90" s="471"/>
      <c r="BH90" s="471"/>
      <c r="BI90" s="471"/>
      <c r="BJ90" s="471"/>
      <c r="BK90" s="798"/>
      <c r="BL90" s="875"/>
      <c r="BM90" s="896"/>
      <c r="BN90" s="925"/>
      <c r="BO90" s="925"/>
      <c r="BP90" s="856"/>
      <c r="BQ90" s="900"/>
      <c r="BR90" s="875"/>
      <c r="BS90" s="925"/>
      <c r="BT90" s="856"/>
      <c r="BU90" s="856"/>
      <c r="BV90" s="840"/>
      <c r="BW90" s="840"/>
      <c r="BX90" s="840"/>
      <c r="BY90" s="840"/>
      <c r="BZ90" s="865"/>
      <c r="CA90" s="865"/>
      <c r="CB90" s="865"/>
      <c r="CC90" s="865"/>
      <c r="CD90" s="865"/>
      <c r="CE90" s="606"/>
      <c r="CF90" s="606"/>
      <c r="CG90" s="606"/>
      <c r="CH90" s="606"/>
      <c r="CI90" s="606"/>
      <c r="CJ90" s="606"/>
      <c r="CK90" s="606"/>
      <c r="CL90" s="606"/>
      <c r="CM90" s="606"/>
      <c r="CN90" s="606"/>
      <c r="CO90" s="606"/>
      <c r="CP90" s="606"/>
      <c r="CQ90" s="606"/>
      <c r="CR90" s="606"/>
      <c r="CS90" s="606"/>
      <c r="CT90" s="606"/>
      <c r="CU90" s="606"/>
      <c r="CV90" s="606"/>
      <c r="CW90" s="606"/>
      <c r="CX90" s="606"/>
      <c r="CY90" s="606"/>
      <c r="CZ90" s="606"/>
      <c r="DA90" s="606"/>
      <c r="DB90" s="606"/>
      <c r="DC90" s="606"/>
      <c r="DD90" s="606"/>
      <c r="DE90" s="606"/>
      <c r="DF90" s="606"/>
      <c r="DG90" s="606"/>
      <c r="DH90" s="606"/>
      <c r="DI90" s="606"/>
      <c r="DJ90" s="606"/>
      <c r="DK90" s="606"/>
      <c r="DL90" s="606"/>
      <c r="DM90" s="606"/>
      <c r="DN90" s="606"/>
      <c r="DO90" s="606"/>
      <c r="DP90" s="606"/>
      <c r="DQ90" s="606"/>
      <c r="DR90" s="606"/>
      <c r="DS90" s="606"/>
      <c r="DT90" s="606"/>
      <c r="DU90" s="606"/>
      <c r="DV90" s="606"/>
      <c r="DW90" s="606"/>
      <c r="DX90" s="606"/>
    </row>
    <row r="91" spans="1:128" ht="15.75" customHeight="1" thickBot="1" x14ac:dyDescent="0.3">
      <c r="A91" s="1"/>
      <c r="B91" s="503"/>
      <c r="C91" s="680" t="s">
        <v>224</v>
      </c>
      <c r="D91" s="429" t="s">
        <v>82</v>
      </c>
      <c r="E91" s="506"/>
      <c r="F91" s="506"/>
      <c r="G91" s="51"/>
      <c r="H91" s="59"/>
      <c r="I91" s="18"/>
      <c r="J91" s="6"/>
      <c r="K91" s="650"/>
      <c r="L91" s="376" t="s">
        <v>84</v>
      </c>
      <c r="M91" s="296" t="s">
        <v>85</v>
      </c>
      <c r="N91" s="443"/>
      <c r="O91" s="443"/>
      <c r="P91" s="443"/>
      <c r="Q91" s="443"/>
      <c r="R91" s="434" t="s">
        <v>79</v>
      </c>
      <c r="S91" s="435" t="s">
        <v>86</v>
      </c>
      <c r="T91" s="453" t="s">
        <v>383</v>
      </c>
      <c r="U91" s="453" t="s">
        <v>88</v>
      </c>
      <c r="V91" s="424"/>
      <c r="W91" s="6"/>
      <c r="X91" s="471"/>
      <c r="Y91" s="471"/>
      <c r="Z91" s="471"/>
      <c r="AA91" s="471"/>
      <c r="AB91" s="471"/>
      <c r="AC91" s="471"/>
      <c r="AD91" s="471"/>
      <c r="AE91" s="471"/>
      <c r="AF91" s="471"/>
      <c r="AG91" s="471"/>
      <c r="AH91" s="471"/>
      <c r="AI91" s="471"/>
      <c r="AJ91" s="471"/>
      <c r="AK91" s="471"/>
      <c r="AL91" s="471"/>
      <c r="AM91" s="471"/>
      <c r="AN91" s="471"/>
      <c r="AO91" s="471"/>
      <c r="AP91" s="471"/>
      <c r="AQ91" s="471"/>
      <c r="AR91" s="471"/>
      <c r="AS91" s="471"/>
      <c r="AT91" s="471"/>
      <c r="AU91" s="471"/>
      <c r="AV91" s="471"/>
      <c r="AW91" s="471"/>
      <c r="AX91" s="471"/>
      <c r="AY91" s="471"/>
      <c r="AZ91" s="471"/>
      <c r="BA91" s="471"/>
      <c r="BB91" s="471"/>
      <c r="BC91" s="471"/>
      <c r="BD91" s="471"/>
      <c r="BE91" s="471"/>
      <c r="BF91" s="471"/>
      <c r="BG91" s="471"/>
      <c r="BH91" s="471"/>
      <c r="BI91" s="471"/>
      <c r="BJ91" s="471"/>
      <c r="BK91" s="798"/>
      <c r="BL91" s="875"/>
      <c r="BM91" s="926"/>
      <c r="BN91" s="925"/>
      <c r="BO91" s="925"/>
      <c r="BP91" s="927" t="s">
        <v>338</v>
      </c>
      <c r="BQ91" s="925"/>
      <c r="BR91" s="928">
        <f>1.6*((BT83*BS83*BY83)+(BT82*BS82*BY82))</f>
        <v>1280</v>
      </c>
      <c r="BS91" s="929"/>
      <c r="BT91" s="856"/>
      <c r="BU91" s="856"/>
      <c r="BV91" s="840"/>
      <c r="BW91" s="930"/>
      <c r="BX91" s="930"/>
      <c r="BY91" s="930"/>
      <c r="BZ91" s="865"/>
      <c r="CA91" s="865"/>
      <c r="CB91" s="865"/>
      <c r="CC91" s="865"/>
      <c r="CD91" s="865"/>
      <c r="CE91" s="606"/>
      <c r="CF91" s="606"/>
      <c r="CG91" s="606"/>
      <c r="CH91" s="606"/>
      <c r="CI91" s="606"/>
      <c r="CJ91" s="606"/>
      <c r="CK91" s="606"/>
      <c r="CL91" s="606"/>
      <c r="CM91" s="606"/>
      <c r="CN91" s="606"/>
      <c r="CO91" s="606"/>
      <c r="CP91" s="606"/>
      <c r="CQ91" s="606"/>
      <c r="CR91" s="606"/>
      <c r="CS91" s="606"/>
      <c r="CT91" s="606"/>
      <c r="CU91" s="606"/>
      <c r="CV91" s="606"/>
      <c r="CW91" s="606"/>
      <c r="CX91" s="606"/>
      <c r="CY91" s="606"/>
      <c r="CZ91" s="606"/>
      <c r="DA91" s="606"/>
      <c r="DB91" s="606"/>
      <c r="DC91" s="606"/>
      <c r="DD91" s="606"/>
      <c r="DE91" s="606"/>
      <c r="DF91" s="606"/>
      <c r="DG91" s="606"/>
      <c r="DH91" s="606"/>
      <c r="DI91" s="606"/>
      <c r="DJ91" s="606"/>
      <c r="DK91" s="606"/>
      <c r="DL91" s="606"/>
      <c r="DM91" s="606"/>
      <c r="DN91" s="606"/>
      <c r="DO91" s="606"/>
      <c r="DP91" s="606"/>
      <c r="DQ91" s="606"/>
      <c r="DR91" s="606"/>
      <c r="DS91" s="606"/>
      <c r="DT91" s="606"/>
      <c r="DU91" s="606"/>
      <c r="DV91" s="606"/>
      <c r="DW91" s="606"/>
      <c r="DX91" s="606"/>
    </row>
    <row r="92" spans="1:128" ht="15.75" customHeight="1" thickBot="1" x14ac:dyDescent="0.3">
      <c r="A92" s="6"/>
      <c r="B92" s="503"/>
      <c r="C92" s="680" t="s">
        <v>224</v>
      </c>
      <c r="D92" s="429" t="s">
        <v>83</v>
      </c>
      <c r="E92" s="506"/>
      <c r="F92" s="506"/>
      <c r="G92" s="51"/>
      <c r="H92" s="17"/>
      <c r="I92" s="18"/>
      <c r="J92" s="6"/>
      <c r="K92" s="650"/>
      <c r="L92" s="376"/>
      <c r="M92" s="296"/>
      <c r="N92" s="443"/>
      <c r="O92" s="443"/>
      <c r="P92" s="452" t="s">
        <v>324</v>
      </c>
      <c r="Q92" s="443"/>
      <c r="R92" s="451">
        <v>2</v>
      </c>
      <c r="S92" s="454">
        <v>1</v>
      </c>
      <c r="T92" s="455">
        <v>2.5</v>
      </c>
      <c r="U92" s="684">
        <f>R92*S92*T92*1000</f>
        <v>5000</v>
      </c>
      <c r="V92" s="424"/>
      <c r="W92" s="6"/>
      <c r="X92" s="471"/>
      <c r="Y92" s="809"/>
      <c r="Z92" s="471"/>
      <c r="AA92" s="471"/>
      <c r="AB92" s="471"/>
      <c r="AC92" s="471"/>
      <c r="AD92" s="471"/>
      <c r="AE92" s="471"/>
      <c r="AF92" s="471"/>
      <c r="AG92" s="471"/>
      <c r="AH92" s="471"/>
      <c r="AI92" s="471"/>
      <c r="AJ92" s="471"/>
      <c r="AK92" s="471"/>
      <c r="AL92" s="471"/>
      <c r="AM92" s="471"/>
      <c r="AN92" s="471"/>
      <c r="AO92" s="471"/>
      <c r="AP92" s="471"/>
      <c r="AQ92" s="471"/>
      <c r="AR92" s="471"/>
      <c r="AS92" s="471"/>
      <c r="AT92" s="471"/>
      <c r="AU92" s="471"/>
      <c r="AV92" s="471"/>
      <c r="AW92" s="471"/>
      <c r="AX92" s="471"/>
      <c r="AY92" s="471"/>
      <c r="AZ92" s="471"/>
      <c r="BA92" s="471"/>
      <c r="BB92" s="471"/>
      <c r="BC92" s="471"/>
      <c r="BD92" s="471"/>
      <c r="BE92" s="471"/>
      <c r="BF92" s="471"/>
      <c r="BG92" s="471"/>
      <c r="BH92" s="471"/>
      <c r="BI92" s="471"/>
      <c r="BJ92" s="471"/>
      <c r="BK92" s="798"/>
      <c r="BL92" s="925"/>
      <c r="BM92" s="925"/>
      <c r="BN92" s="931"/>
      <c r="BO92" s="931"/>
      <c r="BP92" s="925"/>
      <c r="BQ92" s="929"/>
      <c r="BR92" s="929"/>
      <c r="BS92" s="932"/>
      <c r="BT92" s="925"/>
      <c r="BU92" s="925"/>
      <c r="BV92" s="930"/>
      <c r="BW92" s="930"/>
      <c r="BX92" s="930"/>
      <c r="BY92" s="930"/>
      <c r="BZ92" s="865"/>
      <c r="CA92" s="865"/>
      <c r="CB92" s="865"/>
      <c r="CC92" s="865"/>
      <c r="CD92" s="865"/>
      <c r="CE92" s="606"/>
      <c r="CF92" s="606"/>
      <c r="CG92" s="606"/>
      <c r="CH92" s="606"/>
      <c r="CI92" s="606"/>
      <c r="CJ92" s="606"/>
      <c r="CK92" s="606"/>
      <c r="CL92" s="606"/>
      <c r="CM92" s="606"/>
      <c r="CN92" s="606"/>
      <c r="CO92" s="606"/>
      <c r="CP92" s="606"/>
      <c r="CQ92" s="606"/>
      <c r="CR92" s="606"/>
      <c r="CS92" s="606"/>
      <c r="CT92" s="606"/>
      <c r="CU92" s="606"/>
      <c r="CV92" s="606"/>
      <c r="CW92" s="606"/>
      <c r="CX92" s="606"/>
      <c r="CY92" s="606"/>
      <c r="CZ92" s="606"/>
      <c r="DA92" s="606"/>
      <c r="DB92" s="606"/>
      <c r="DC92" s="606"/>
      <c r="DD92" s="606"/>
      <c r="DE92" s="606"/>
      <c r="DF92" s="606"/>
      <c r="DG92" s="606"/>
      <c r="DH92" s="606"/>
      <c r="DI92" s="606"/>
      <c r="DJ92" s="606"/>
      <c r="DK92" s="606"/>
      <c r="DL92" s="606"/>
      <c r="DM92" s="606"/>
      <c r="DN92" s="606"/>
      <c r="DO92" s="606"/>
      <c r="DP92" s="606"/>
      <c r="DQ92" s="606"/>
      <c r="DR92" s="606"/>
      <c r="DS92" s="606"/>
      <c r="DT92" s="606"/>
      <c r="DU92" s="606"/>
      <c r="DV92" s="606"/>
      <c r="DW92" s="606"/>
      <c r="DX92" s="606"/>
    </row>
    <row r="93" spans="1:128" ht="15.75" customHeight="1" x14ac:dyDescent="0.25">
      <c r="A93" s="1"/>
      <c r="B93" s="503"/>
      <c r="C93" s="680" t="s">
        <v>224</v>
      </c>
      <c r="D93" s="429" t="s">
        <v>89</v>
      </c>
      <c r="E93" s="506"/>
      <c r="F93" s="506"/>
      <c r="G93" s="51"/>
      <c r="H93" s="17"/>
      <c r="I93" s="18"/>
      <c r="J93" s="6"/>
      <c r="K93" s="650"/>
      <c r="L93" s="376"/>
      <c r="M93" s="296"/>
      <c r="N93" s="443"/>
      <c r="O93" s="760"/>
      <c r="P93" s="761"/>
      <c r="Q93" s="760"/>
      <c r="R93" s="762"/>
      <c r="S93" s="762"/>
      <c r="T93" s="762"/>
      <c r="U93" s="763"/>
      <c r="V93" s="424"/>
      <c r="W93" s="6"/>
      <c r="X93" s="471"/>
      <c r="Y93" s="471"/>
      <c r="Z93" s="471"/>
      <c r="AA93" s="471"/>
      <c r="AB93" s="471"/>
      <c r="AC93" s="471"/>
      <c r="AD93" s="471"/>
      <c r="AE93" s="471"/>
      <c r="AF93" s="471"/>
      <c r="AG93" s="471"/>
      <c r="AH93" s="471"/>
      <c r="AI93" s="471"/>
      <c r="AJ93" s="471"/>
      <c r="AK93" s="471"/>
      <c r="AL93" s="471"/>
      <c r="AM93" s="471"/>
      <c r="AN93" s="471"/>
      <c r="AO93" s="471"/>
      <c r="AP93" s="471"/>
      <c r="AQ93" s="471"/>
      <c r="AR93" s="471"/>
      <c r="AS93" s="471"/>
      <c r="AT93" s="471"/>
      <c r="AU93" s="471"/>
      <c r="AV93" s="471"/>
      <c r="AW93" s="471"/>
      <c r="AX93" s="471"/>
      <c r="AY93" s="471"/>
      <c r="AZ93" s="471"/>
      <c r="BA93" s="471"/>
      <c r="BB93" s="471"/>
      <c r="BC93" s="471"/>
      <c r="BD93" s="471"/>
      <c r="BE93" s="471"/>
      <c r="BF93" s="471"/>
      <c r="BG93" s="471"/>
      <c r="BH93" s="471"/>
      <c r="BI93" s="471"/>
      <c r="BJ93" s="471"/>
      <c r="BK93" s="798"/>
      <c r="BL93" s="925"/>
      <c r="BM93" s="925"/>
      <c r="BN93" s="931"/>
      <c r="BO93" s="931"/>
      <c r="BP93" s="931"/>
      <c r="BQ93" s="932"/>
      <c r="BR93" s="932"/>
      <c r="BS93" s="932"/>
      <c r="BT93" s="1010"/>
      <c r="BU93" s="1010"/>
      <c r="BV93" s="930"/>
      <c r="BW93" s="930"/>
      <c r="BX93" s="930"/>
      <c r="BY93" s="930"/>
      <c r="BZ93" s="865"/>
      <c r="CA93" s="865"/>
      <c r="CB93" s="865"/>
      <c r="CC93" s="865"/>
      <c r="CD93" s="865"/>
      <c r="CE93" s="606"/>
      <c r="CF93" s="606"/>
      <c r="CG93" s="606"/>
      <c r="CH93" s="606"/>
      <c r="CI93" s="606"/>
      <c r="CJ93" s="606"/>
      <c r="CK93" s="606"/>
      <c r="CL93" s="606"/>
      <c r="CM93" s="606"/>
      <c r="CN93" s="606"/>
      <c r="CO93" s="606"/>
      <c r="CP93" s="606"/>
      <c r="CQ93" s="606"/>
      <c r="CR93" s="606"/>
      <c r="CS93" s="606"/>
      <c r="CT93" s="606"/>
      <c r="CU93" s="606"/>
      <c r="CV93" s="606"/>
      <c r="CW93" s="606"/>
      <c r="CX93" s="606"/>
      <c r="CY93" s="606"/>
      <c r="CZ93" s="606"/>
      <c r="DA93" s="606"/>
      <c r="DB93" s="606"/>
      <c r="DC93" s="606"/>
      <c r="DD93" s="606"/>
      <c r="DE93" s="606"/>
      <c r="DF93" s="606"/>
      <c r="DG93" s="606"/>
      <c r="DH93" s="606"/>
      <c r="DI93" s="606"/>
      <c r="DJ93" s="606"/>
      <c r="DK93" s="606"/>
      <c r="DL93" s="606"/>
      <c r="DM93" s="606"/>
      <c r="DN93" s="606"/>
      <c r="DO93" s="606"/>
      <c r="DP93" s="606"/>
      <c r="DQ93" s="606"/>
      <c r="DR93" s="606"/>
      <c r="DS93" s="606"/>
      <c r="DT93" s="606"/>
      <c r="DU93" s="606"/>
      <c r="DV93" s="606"/>
      <c r="DW93" s="606"/>
      <c r="DX93" s="606"/>
    </row>
    <row r="94" spans="1:128" ht="15.75" customHeight="1" thickBot="1" x14ac:dyDescent="0.3">
      <c r="A94" s="1"/>
      <c r="B94" s="503"/>
      <c r="C94" s="680" t="s">
        <v>224</v>
      </c>
      <c r="D94" s="59" t="s">
        <v>210</v>
      </c>
      <c r="E94" s="506"/>
      <c r="F94" s="506"/>
      <c r="G94" s="51"/>
      <c r="H94" s="17"/>
      <c r="I94" s="18"/>
      <c r="J94" s="6"/>
      <c r="K94" s="650"/>
      <c r="L94" s="376"/>
      <c r="M94" s="296"/>
      <c r="N94" s="443"/>
      <c r="O94" s="760"/>
      <c r="P94" s="760"/>
      <c r="Q94" s="760"/>
      <c r="R94" s="764"/>
      <c r="S94" s="765"/>
      <c r="T94" s="764"/>
      <c r="U94" s="766">
        <f>IF(R85="prismático",U92,T89)</f>
        <v>5000</v>
      </c>
      <c r="V94" s="424"/>
      <c r="W94" s="6"/>
      <c r="X94" s="471"/>
      <c r="Y94" s="808"/>
      <c r="Z94" s="471"/>
      <c r="AA94" s="471"/>
      <c r="AB94" s="471"/>
      <c r="AC94" s="471"/>
      <c r="AD94" s="471"/>
      <c r="AE94" s="471"/>
      <c r="AF94" s="471"/>
      <c r="AG94" s="471"/>
      <c r="AH94" s="471"/>
      <c r="AI94" s="471"/>
      <c r="AJ94" s="471"/>
      <c r="AK94" s="471"/>
      <c r="AL94" s="471"/>
      <c r="AM94" s="471"/>
      <c r="AN94" s="471"/>
      <c r="AO94" s="471"/>
      <c r="AP94" s="471"/>
      <c r="AQ94" s="471"/>
      <c r="AR94" s="471"/>
      <c r="AS94" s="471"/>
      <c r="AT94" s="471"/>
      <c r="AU94" s="471"/>
      <c r="AV94" s="471"/>
      <c r="AW94" s="471"/>
      <c r="AX94" s="471"/>
      <c r="AY94" s="471"/>
      <c r="AZ94" s="471"/>
      <c r="BA94" s="471"/>
      <c r="BB94" s="471"/>
      <c r="BC94" s="471"/>
      <c r="BD94" s="471"/>
      <c r="BE94" s="471"/>
      <c r="BF94" s="471"/>
      <c r="BG94" s="471"/>
      <c r="BH94" s="471"/>
      <c r="BI94" s="471"/>
      <c r="BJ94" s="471"/>
      <c r="BK94" s="798"/>
      <c r="BL94" s="931"/>
      <c r="BM94" s="931"/>
      <c r="BN94" s="931"/>
      <c r="BO94" s="931"/>
      <c r="BP94" s="931"/>
      <c r="BQ94" s="932"/>
      <c r="BR94" s="932"/>
      <c r="BS94" s="932"/>
      <c r="BT94" s="1006"/>
      <c r="BU94" s="1007"/>
      <c r="BV94" s="930"/>
      <c r="BW94" s="930"/>
      <c r="BX94" s="930"/>
      <c r="BY94" s="930"/>
      <c r="BZ94" s="865"/>
      <c r="CA94" s="865"/>
      <c r="CB94" s="865"/>
      <c r="CC94" s="865"/>
      <c r="CD94" s="865"/>
      <c r="CE94" s="606"/>
      <c r="CF94" s="606"/>
      <c r="CG94" s="606"/>
      <c r="CH94" s="606"/>
      <c r="CI94" s="606"/>
      <c r="CJ94" s="606"/>
      <c r="CK94" s="606"/>
      <c r="CL94" s="606"/>
      <c r="CM94" s="606"/>
      <c r="CN94" s="606"/>
      <c r="CO94" s="606"/>
      <c r="CP94" s="606"/>
      <c r="CQ94" s="606"/>
      <c r="CR94" s="606"/>
      <c r="CS94" s="606"/>
      <c r="CT94" s="606"/>
      <c r="CU94" s="606"/>
      <c r="CV94" s="606"/>
      <c r="CW94" s="606"/>
      <c r="CX94" s="606"/>
      <c r="CY94" s="606"/>
      <c r="CZ94" s="606"/>
      <c r="DA94" s="606"/>
      <c r="DB94" s="606"/>
      <c r="DC94" s="606"/>
      <c r="DD94" s="606"/>
      <c r="DE94" s="606"/>
      <c r="DF94" s="606"/>
      <c r="DG94" s="606"/>
      <c r="DH94" s="606"/>
      <c r="DI94" s="606"/>
      <c r="DJ94" s="606"/>
      <c r="DK94" s="606"/>
      <c r="DL94" s="606"/>
      <c r="DM94" s="606"/>
      <c r="DN94" s="606"/>
      <c r="DO94" s="606"/>
      <c r="DP94" s="606"/>
      <c r="DQ94" s="606"/>
      <c r="DR94" s="606"/>
      <c r="DS94" s="606"/>
      <c r="DT94" s="606"/>
      <c r="DU94" s="606"/>
      <c r="DV94" s="606"/>
      <c r="DW94" s="606"/>
      <c r="DX94" s="606"/>
    </row>
    <row r="95" spans="1:128" ht="15.75" customHeight="1" thickBot="1" x14ac:dyDescent="0.3">
      <c r="A95" s="1"/>
      <c r="B95" s="15"/>
      <c r="C95" s="514"/>
      <c r="D95" s="59" t="s">
        <v>195</v>
      </c>
      <c r="E95" s="17"/>
      <c r="F95" s="17"/>
      <c r="G95" s="51"/>
      <c r="H95" s="17"/>
      <c r="I95" s="18"/>
      <c r="J95" s="68"/>
      <c r="K95" s="650"/>
      <c r="L95" s="376"/>
      <c r="M95" s="376"/>
      <c r="N95" s="376"/>
      <c r="O95" s="1042" t="s">
        <v>72</v>
      </c>
      <c r="P95" s="1048"/>
      <c r="Q95" s="1046" t="s">
        <v>73</v>
      </c>
      <c r="R95" s="1047"/>
      <c r="S95" s="1050" t="s">
        <v>34</v>
      </c>
      <c r="T95" s="1050" t="s">
        <v>90</v>
      </c>
      <c r="U95" s="376"/>
      <c r="V95" s="315"/>
      <c r="W95" s="6"/>
      <c r="X95" s="471"/>
      <c r="Y95" s="471"/>
      <c r="Z95" s="471"/>
      <c r="AA95" s="471"/>
      <c r="AB95" s="471"/>
      <c r="AC95" s="471"/>
      <c r="AD95" s="471"/>
      <c r="AE95" s="471"/>
      <c r="AF95" s="471"/>
      <c r="AG95" s="471"/>
      <c r="AH95" s="471"/>
      <c r="AI95" s="471"/>
      <c r="AJ95" s="471"/>
      <c r="AK95" s="471"/>
      <c r="AL95" s="471"/>
      <c r="AM95" s="471"/>
      <c r="AN95" s="471"/>
      <c r="AO95" s="471"/>
      <c r="AP95" s="471"/>
      <c r="AQ95" s="471"/>
      <c r="AR95" s="471"/>
      <c r="AS95" s="471"/>
      <c r="AT95" s="471"/>
      <c r="AU95" s="471"/>
      <c r="AV95" s="471"/>
      <c r="AW95" s="471"/>
      <c r="AX95" s="471"/>
      <c r="AY95" s="471"/>
      <c r="AZ95" s="471"/>
      <c r="BA95" s="471"/>
      <c r="BB95" s="471"/>
      <c r="BC95" s="471"/>
      <c r="BD95" s="471"/>
      <c r="BE95" s="471"/>
      <c r="BF95" s="471"/>
      <c r="BG95" s="471"/>
      <c r="BH95" s="471"/>
      <c r="BI95" s="471"/>
      <c r="BJ95" s="471"/>
      <c r="BK95" s="798"/>
      <c r="BL95" s="931"/>
      <c r="BM95" s="931"/>
      <c r="BN95" s="931"/>
      <c r="BO95" s="931"/>
      <c r="BP95" s="931"/>
      <c r="BQ95" s="933"/>
      <c r="BR95" s="932"/>
      <c r="BS95" s="932"/>
      <c r="BT95" s="1006"/>
      <c r="BU95" s="1007"/>
      <c r="BV95" s="930"/>
      <c r="BW95" s="930"/>
      <c r="BX95" s="930"/>
      <c r="BY95" s="930"/>
      <c r="BZ95" s="865"/>
      <c r="CA95" s="865"/>
      <c r="CB95" s="865"/>
      <c r="CC95" s="865"/>
      <c r="CD95" s="865"/>
      <c r="CE95" s="606"/>
      <c r="CF95" s="606"/>
      <c r="CG95" s="606"/>
      <c r="CH95" s="606"/>
      <c r="CI95" s="606"/>
      <c r="CJ95" s="606"/>
      <c r="CK95" s="606"/>
      <c r="CL95" s="606"/>
      <c r="CM95" s="606"/>
      <c r="CN95" s="606"/>
      <c r="CO95" s="606"/>
      <c r="CP95" s="606"/>
      <c r="CQ95" s="606"/>
      <c r="CR95" s="606"/>
      <c r="CS95" s="606"/>
      <c r="CT95" s="606"/>
      <c r="CU95" s="606"/>
      <c r="CV95" s="606"/>
      <c r="CW95" s="606"/>
      <c r="CX95" s="606"/>
      <c r="CY95" s="606"/>
      <c r="CZ95" s="606"/>
      <c r="DA95" s="606"/>
      <c r="DB95" s="606"/>
      <c r="DC95" s="606"/>
      <c r="DD95" s="606"/>
      <c r="DE95" s="606"/>
      <c r="DF95" s="606"/>
      <c r="DG95" s="606"/>
      <c r="DH95" s="606"/>
      <c r="DI95" s="606"/>
      <c r="DJ95" s="606"/>
      <c r="DK95" s="606"/>
      <c r="DL95" s="606"/>
      <c r="DM95" s="606"/>
      <c r="DN95" s="606"/>
      <c r="DO95" s="606"/>
      <c r="DP95" s="606"/>
      <c r="DQ95" s="606"/>
      <c r="DR95" s="606"/>
      <c r="DS95" s="606"/>
      <c r="DT95" s="606"/>
      <c r="DU95" s="606"/>
      <c r="DV95" s="606"/>
      <c r="DW95" s="606"/>
      <c r="DX95" s="606"/>
    </row>
    <row r="96" spans="1:128" ht="15.75" customHeight="1" thickBot="1" x14ac:dyDescent="0.3">
      <c r="A96" s="1"/>
      <c r="B96" s="503"/>
      <c r="C96" s="680" t="s">
        <v>224</v>
      </c>
      <c r="D96" s="59" t="s">
        <v>212</v>
      </c>
      <c r="E96" s="506"/>
      <c r="F96" s="506"/>
      <c r="G96" s="51"/>
      <c r="H96" s="89"/>
      <c r="I96" s="18"/>
      <c r="J96" s="6"/>
      <c r="K96" s="650"/>
      <c r="L96" s="376"/>
      <c r="M96" s="376"/>
      <c r="N96" s="376"/>
      <c r="O96" s="1044"/>
      <c r="P96" s="1049"/>
      <c r="Q96" s="525" t="s">
        <v>75</v>
      </c>
      <c r="R96" s="526" t="s">
        <v>76</v>
      </c>
      <c r="S96" s="1051"/>
      <c r="T96" s="1051"/>
      <c r="U96" s="376"/>
      <c r="V96" s="315"/>
      <c r="W96" s="6"/>
      <c r="X96" s="471"/>
      <c r="Y96" s="471"/>
      <c r="Z96" s="471"/>
      <c r="AA96" s="471"/>
      <c r="AB96" s="471"/>
      <c r="AC96" s="471"/>
      <c r="AD96" s="471"/>
      <c r="AE96" s="471"/>
      <c r="AF96" s="471"/>
      <c r="AG96" s="471"/>
      <c r="AH96" s="471"/>
      <c r="AI96" s="471"/>
      <c r="AJ96" s="471"/>
      <c r="AK96" s="471"/>
      <c r="AL96" s="471"/>
      <c r="AM96" s="471"/>
      <c r="AN96" s="471"/>
      <c r="AO96" s="471"/>
      <c r="AP96" s="471"/>
      <c r="AQ96" s="471"/>
      <c r="AR96" s="471"/>
      <c r="AS96" s="471"/>
      <c r="AT96" s="471"/>
      <c r="AU96" s="471"/>
      <c r="AV96" s="471"/>
      <c r="AW96" s="471"/>
      <c r="AX96" s="471"/>
      <c r="AY96" s="471"/>
      <c r="AZ96" s="471"/>
      <c r="BA96" s="471"/>
      <c r="BB96" s="471"/>
      <c r="BC96" s="471"/>
      <c r="BD96" s="471"/>
      <c r="BE96" s="471"/>
      <c r="BF96" s="471"/>
      <c r="BG96" s="471"/>
      <c r="BH96" s="471"/>
      <c r="BI96" s="471"/>
      <c r="BJ96" s="471"/>
      <c r="BK96" s="798"/>
      <c r="BL96" s="931"/>
      <c r="BM96" s="931"/>
      <c r="BN96" s="931"/>
      <c r="BO96" s="931"/>
      <c r="BP96" s="931"/>
      <c r="BQ96" s="933"/>
      <c r="BR96" s="932"/>
      <c r="BS96" s="931"/>
      <c r="BT96" s="1011"/>
      <c r="BU96" s="1011"/>
      <c r="BV96" s="930"/>
      <c r="BW96" s="930"/>
      <c r="BX96" s="930"/>
      <c r="BY96" s="930"/>
      <c r="BZ96" s="865"/>
      <c r="CA96" s="865"/>
      <c r="CB96" s="865"/>
      <c r="CC96" s="865"/>
      <c r="CD96" s="865"/>
      <c r="CE96" s="606"/>
      <c r="CF96" s="606"/>
      <c r="CG96" s="606"/>
      <c r="CH96" s="606"/>
      <c r="CI96" s="606"/>
      <c r="CJ96" s="606"/>
      <c r="CK96" s="606"/>
      <c r="CL96" s="606"/>
      <c r="CM96" s="606"/>
      <c r="CN96" s="606"/>
      <c r="CO96" s="606"/>
      <c r="CP96" s="606"/>
      <c r="CQ96" s="606"/>
      <c r="CR96" s="606"/>
      <c r="CS96" s="606"/>
      <c r="CT96" s="606"/>
      <c r="CU96" s="606"/>
      <c r="CV96" s="606"/>
      <c r="CW96" s="606"/>
      <c r="CX96" s="606"/>
      <c r="CY96" s="606"/>
      <c r="CZ96" s="606"/>
      <c r="DA96" s="606"/>
      <c r="DB96" s="606"/>
      <c r="DC96" s="606"/>
      <c r="DD96" s="606"/>
      <c r="DE96" s="606"/>
      <c r="DF96" s="606"/>
      <c r="DG96" s="606"/>
      <c r="DH96" s="606"/>
      <c r="DI96" s="606"/>
      <c r="DJ96" s="606"/>
      <c r="DK96" s="606"/>
      <c r="DL96" s="606"/>
      <c r="DM96" s="606"/>
      <c r="DN96" s="606"/>
      <c r="DO96" s="606"/>
      <c r="DP96" s="606"/>
      <c r="DQ96" s="606"/>
      <c r="DR96" s="606"/>
      <c r="DS96" s="606"/>
      <c r="DT96" s="606"/>
      <c r="DU96" s="606"/>
      <c r="DV96" s="606"/>
      <c r="DW96" s="606"/>
      <c r="DX96" s="606"/>
    </row>
    <row r="97" spans="1:128" ht="15.75" customHeight="1" thickBot="1" x14ac:dyDescent="0.3">
      <c r="A97" s="1"/>
      <c r="B97" s="15"/>
      <c r="C97" s="514"/>
      <c r="D97" s="59" t="s">
        <v>213</v>
      </c>
      <c r="E97" s="17"/>
      <c r="F97" s="17"/>
      <c r="G97" s="51"/>
      <c r="H97" s="89"/>
      <c r="I97" s="18"/>
      <c r="J97" s="6"/>
      <c r="K97" s="650"/>
      <c r="L97" s="376"/>
      <c r="M97" s="376"/>
      <c r="N97" s="376"/>
      <c r="O97" s="62" t="s">
        <v>91</v>
      </c>
      <c r="P97" s="63"/>
      <c r="Q97" s="64" t="str">
        <f>IF(R85="cilíndrico",1.1,"----")</f>
        <v>----</v>
      </c>
      <c r="R97" s="65" t="s">
        <v>92</v>
      </c>
      <c r="S97" s="66" t="str">
        <f>IF($R$85="cilíndrico",S89,"-----")</f>
        <v>-----</v>
      </c>
      <c r="T97" s="67" t="str">
        <f>IF($R$85="cilíndrico",IF(S97&gt;=Q97,"Atende","Não Atende"),"----")</f>
        <v>----</v>
      </c>
      <c r="U97" s="376"/>
      <c r="V97" s="315"/>
      <c r="W97" s="6"/>
      <c r="X97" s="471"/>
      <c r="Y97" s="471"/>
      <c r="Z97" s="471"/>
      <c r="AA97" s="471"/>
      <c r="AB97" s="471"/>
      <c r="AC97" s="471"/>
      <c r="AD97" s="471"/>
      <c r="AE97" s="471"/>
      <c r="AF97" s="471"/>
      <c r="AG97" s="471"/>
      <c r="AH97" s="471"/>
      <c r="AI97" s="471"/>
      <c r="AJ97" s="471"/>
      <c r="AK97" s="471"/>
      <c r="AL97" s="471"/>
      <c r="AM97" s="471"/>
      <c r="AN97" s="471"/>
      <c r="AO97" s="471"/>
      <c r="AP97" s="471"/>
      <c r="AQ97" s="471"/>
      <c r="AR97" s="471"/>
      <c r="AS97" s="471"/>
      <c r="AT97" s="471"/>
      <c r="AU97" s="471"/>
      <c r="AV97" s="471"/>
      <c r="AW97" s="471"/>
      <c r="AX97" s="471"/>
      <c r="AY97" s="471"/>
      <c r="AZ97" s="471"/>
      <c r="BA97" s="471"/>
      <c r="BB97" s="471"/>
      <c r="BC97" s="471"/>
      <c r="BD97" s="471"/>
      <c r="BE97" s="471"/>
      <c r="BF97" s="471"/>
      <c r="BG97" s="471"/>
      <c r="BH97" s="471"/>
      <c r="BI97" s="471"/>
      <c r="BJ97" s="471"/>
      <c r="BK97" s="798"/>
      <c r="BL97" s="931"/>
      <c r="BM97" s="931"/>
      <c r="BN97" s="856"/>
      <c r="BO97" s="856"/>
      <c r="BP97" s="931"/>
      <c r="BQ97" s="931"/>
      <c r="BR97" s="931"/>
      <c r="BS97" s="856"/>
      <c r="BT97" s="1057"/>
      <c r="BU97" s="1011"/>
      <c r="BV97" s="930"/>
      <c r="BW97" s="934"/>
      <c r="BX97" s="934"/>
      <c r="BY97" s="934"/>
      <c r="BZ97" s="865"/>
      <c r="CA97" s="865"/>
      <c r="CB97" s="865"/>
      <c r="CC97" s="865"/>
      <c r="CD97" s="865"/>
      <c r="CE97" s="606"/>
      <c r="CF97" s="606"/>
      <c r="CG97" s="606"/>
      <c r="CH97" s="606"/>
      <c r="CI97" s="606"/>
      <c r="CJ97" s="606"/>
      <c r="CK97" s="606"/>
      <c r="CL97" s="606"/>
      <c r="CM97" s="606"/>
      <c r="CN97" s="606"/>
      <c r="CO97" s="606"/>
      <c r="CP97" s="606"/>
      <c r="CQ97" s="606"/>
      <c r="CR97" s="606"/>
      <c r="CS97" s="606"/>
      <c r="CT97" s="606"/>
      <c r="CU97" s="606"/>
      <c r="CV97" s="606"/>
      <c r="CW97" s="606"/>
      <c r="CX97" s="606"/>
      <c r="CY97" s="606"/>
      <c r="CZ97" s="606"/>
      <c r="DA97" s="606"/>
      <c r="DB97" s="606"/>
      <c r="DC97" s="606"/>
      <c r="DD97" s="606"/>
      <c r="DE97" s="606"/>
      <c r="DF97" s="606"/>
      <c r="DG97" s="606"/>
      <c r="DH97" s="606"/>
      <c r="DI97" s="606"/>
      <c r="DJ97" s="606"/>
      <c r="DK97" s="606"/>
      <c r="DL97" s="606"/>
      <c r="DM97" s="606"/>
      <c r="DN97" s="606"/>
      <c r="DO97" s="606"/>
      <c r="DP97" s="606"/>
      <c r="DQ97" s="606"/>
      <c r="DR97" s="606"/>
      <c r="DS97" s="606"/>
      <c r="DT97" s="606"/>
      <c r="DU97" s="606"/>
      <c r="DV97" s="606"/>
      <c r="DW97" s="606"/>
      <c r="DX97" s="606"/>
    </row>
    <row r="98" spans="1:128" ht="15.75" customHeight="1" thickBot="1" x14ac:dyDescent="0.3">
      <c r="A98" s="1"/>
      <c r="B98" s="503"/>
      <c r="C98" s="680" t="s">
        <v>224</v>
      </c>
      <c r="D98" s="59" t="s">
        <v>193</v>
      </c>
      <c r="E98" s="506"/>
      <c r="F98" s="506"/>
      <c r="G98" s="51"/>
      <c r="H98" s="89"/>
      <c r="I98" s="18"/>
      <c r="J98" s="6"/>
      <c r="K98" s="722"/>
      <c r="L98" s="625"/>
      <c r="M98" s="376"/>
      <c r="N98" s="376"/>
      <c r="O98" s="536" t="s">
        <v>93</v>
      </c>
      <c r="P98" s="69"/>
      <c r="Q98" s="64">
        <f>IF(R85="prismático",0.8,"----")</f>
        <v>0.8</v>
      </c>
      <c r="R98" s="70" t="s">
        <v>92</v>
      </c>
      <c r="S98" s="71">
        <f>IF($R$85="prismático",S92,"----")</f>
        <v>1</v>
      </c>
      <c r="T98" s="72" t="str">
        <f>IF($R$85="prismático",IF(S98&gt;=Q98,"Atende","Não Atende"),"----")</f>
        <v>Atende</v>
      </c>
      <c r="U98" s="376"/>
      <c r="V98" s="315"/>
      <c r="W98" s="6"/>
      <c r="X98" s="471"/>
      <c r="Y98" s="471"/>
      <c r="Z98" s="471"/>
      <c r="AA98" s="471"/>
      <c r="AB98" s="471"/>
      <c r="AC98" s="471"/>
      <c r="AD98" s="471"/>
      <c r="AE98" s="471"/>
      <c r="AF98" s="471"/>
      <c r="AG98" s="471"/>
      <c r="AH98" s="471"/>
      <c r="AI98" s="471"/>
      <c r="AJ98" s="471"/>
      <c r="AK98" s="471"/>
      <c r="AL98" s="471"/>
      <c r="AM98" s="471"/>
      <c r="AN98" s="471"/>
      <c r="AO98" s="471"/>
      <c r="AP98" s="471"/>
      <c r="AQ98" s="471"/>
      <c r="AR98" s="471"/>
      <c r="AS98" s="471"/>
      <c r="AT98" s="471"/>
      <c r="AU98" s="471"/>
      <c r="AV98" s="471"/>
      <c r="AW98" s="471"/>
      <c r="AX98" s="471"/>
      <c r="AY98" s="471"/>
      <c r="AZ98" s="471"/>
      <c r="BA98" s="471"/>
      <c r="BB98" s="471"/>
      <c r="BC98" s="471"/>
      <c r="BD98" s="471"/>
      <c r="BE98" s="471"/>
      <c r="BF98" s="471"/>
      <c r="BG98" s="471"/>
      <c r="BH98" s="471"/>
      <c r="BI98" s="471"/>
      <c r="BJ98" s="471"/>
      <c r="BK98" s="798"/>
      <c r="BL98" s="931"/>
      <c r="BM98" s="931"/>
      <c r="BN98" s="856"/>
      <c r="BO98" s="856"/>
      <c r="BP98" s="856"/>
      <c r="BQ98" s="860"/>
      <c r="BR98" s="856"/>
      <c r="BS98" s="856"/>
      <c r="BT98" s="935"/>
      <c r="BU98" s="905"/>
      <c r="BV98" s="934"/>
      <c r="BW98" s="840"/>
      <c r="BX98" s="840"/>
      <c r="BY98" s="840"/>
      <c r="BZ98" s="865"/>
      <c r="CA98" s="865"/>
      <c r="CB98" s="865"/>
      <c r="CC98" s="865"/>
      <c r="CD98" s="865"/>
      <c r="CE98" s="606"/>
      <c r="CF98" s="606"/>
      <c r="CG98" s="606"/>
      <c r="CH98" s="606"/>
      <c r="CI98" s="606"/>
      <c r="CJ98" s="606"/>
      <c r="CK98" s="606"/>
      <c r="CL98" s="606"/>
      <c r="CM98" s="606"/>
      <c r="CN98" s="606"/>
      <c r="CO98" s="606"/>
      <c r="CP98" s="606"/>
      <c r="CQ98" s="606"/>
      <c r="CR98" s="606"/>
      <c r="CS98" s="606"/>
      <c r="CT98" s="606"/>
      <c r="CU98" s="606"/>
      <c r="CV98" s="606"/>
      <c r="CW98" s="606"/>
      <c r="CX98" s="606"/>
      <c r="CY98" s="606"/>
      <c r="CZ98" s="606"/>
      <c r="DA98" s="606"/>
      <c r="DB98" s="606"/>
      <c r="DC98" s="606"/>
      <c r="DD98" s="606"/>
      <c r="DE98" s="606"/>
      <c r="DF98" s="606"/>
      <c r="DG98" s="606"/>
      <c r="DH98" s="606"/>
      <c r="DI98" s="606"/>
      <c r="DJ98" s="606"/>
      <c r="DK98" s="606"/>
      <c r="DL98" s="606"/>
      <c r="DM98" s="606"/>
      <c r="DN98" s="606"/>
      <c r="DO98" s="606"/>
      <c r="DP98" s="606"/>
      <c r="DQ98" s="606"/>
      <c r="DR98" s="606"/>
      <c r="DS98" s="606"/>
      <c r="DT98" s="606"/>
      <c r="DU98" s="606"/>
      <c r="DV98" s="606"/>
      <c r="DW98" s="606"/>
      <c r="DX98" s="606"/>
    </row>
    <row r="99" spans="1:128" ht="15.75" customHeight="1" thickBot="1" x14ac:dyDescent="0.3">
      <c r="A99" s="1"/>
      <c r="B99" s="15"/>
      <c r="C99" s="514"/>
      <c r="D99" s="59"/>
      <c r="E99" s="17"/>
      <c r="F99" s="17"/>
      <c r="G99" s="51"/>
      <c r="H99" s="89"/>
      <c r="I99" s="18"/>
      <c r="J99" s="6"/>
      <c r="K99" s="650"/>
      <c r="L99" s="376"/>
      <c r="M99" s="376"/>
      <c r="N99" s="376"/>
      <c r="O99" s="62" t="s">
        <v>94</v>
      </c>
      <c r="P99" s="63"/>
      <c r="Q99" s="73">
        <f>IF(U94&lt;6000,1.2,IF(AND(U94&gt;=6000,U94&lt;10000),1.5,IF(U94&gt;10000,1.8,erro)))</f>
        <v>1.2</v>
      </c>
      <c r="R99" s="74">
        <f>IF(U94&lt;6000,2.2,IF(AND(U94&gt;=6000,U94&lt;10000),2.5,IF(U94&gt;10000,2.8,erro)))</f>
        <v>2.2000000000000002</v>
      </c>
      <c r="S99" s="66">
        <f>IF($R$85="cilíndrico",R89,R92)</f>
        <v>2</v>
      </c>
      <c r="T99" s="67" t="str">
        <f>IF(AND(S99&gt;=Q99,S99&lt;=R99),"Atende","Não Atende")</f>
        <v>Atende</v>
      </c>
      <c r="U99" s="376"/>
      <c r="V99" s="384"/>
      <c r="W99" s="6"/>
      <c r="X99" s="471"/>
      <c r="Y99" s="471"/>
      <c r="Z99" s="471"/>
      <c r="AA99" s="471"/>
      <c r="AB99" s="471"/>
      <c r="AC99" s="471"/>
      <c r="AD99" s="471"/>
      <c r="AE99" s="471"/>
      <c r="AF99" s="471"/>
      <c r="AG99" s="471"/>
      <c r="AH99" s="471"/>
      <c r="AI99" s="471"/>
      <c r="AJ99" s="471"/>
      <c r="AK99" s="471"/>
      <c r="AL99" s="471"/>
      <c r="AM99" s="471"/>
      <c r="AN99" s="471"/>
      <c r="AO99" s="471"/>
      <c r="AP99" s="471"/>
      <c r="AQ99" s="471"/>
      <c r="AR99" s="471"/>
      <c r="AS99" s="471"/>
      <c r="AT99" s="471"/>
      <c r="AU99" s="471"/>
      <c r="AV99" s="471"/>
      <c r="AW99" s="471"/>
      <c r="AX99" s="471"/>
      <c r="AY99" s="471"/>
      <c r="AZ99" s="471"/>
      <c r="BA99" s="471"/>
      <c r="BB99" s="471"/>
      <c r="BC99" s="471"/>
      <c r="BD99" s="471"/>
      <c r="BE99" s="471"/>
      <c r="BF99" s="471"/>
      <c r="BG99" s="471"/>
      <c r="BH99" s="471"/>
      <c r="BI99" s="471"/>
      <c r="BJ99" s="471"/>
      <c r="BK99" s="798"/>
      <c r="BL99" s="884"/>
      <c r="BM99" s="884"/>
      <c r="BN99" s="884"/>
      <c r="BO99" s="884"/>
      <c r="BP99" s="856"/>
      <c r="BQ99" s="860"/>
      <c r="BR99" s="856"/>
      <c r="BS99" s="884"/>
      <c r="BT99" s="884"/>
      <c r="BU99" s="884"/>
      <c r="BV99" s="865"/>
      <c r="BW99" s="865"/>
      <c r="BX99" s="865"/>
      <c r="BY99" s="865"/>
      <c r="BZ99" s="865"/>
      <c r="CA99" s="865"/>
      <c r="CB99" s="865"/>
      <c r="CC99" s="865"/>
      <c r="CD99" s="865"/>
      <c r="CE99" s="606"/>
      <c r="CF99" s="606"/>
      <c r="CG99" s="606"/>
      <c r="CH99" s="606"/>
      <c r="CI99" s="606"/>
      <c r="CJ99" s="606"/>
      <c r="CK99" s="606"/>
      <c r="CL99" s="606"/>
      <c r="CM99" s="606"/>
      <c r="CN99" s="606"/>
      <c r="CO99" s="606"/>
      <c r="CP99" s="606"/>
      <c r="CQ99" s="606"/>
      <c r="CR99" s="606"/>
      <c r="CS99" s="606"/>
      <c r="CT99" s="606"/>
      <c r="CU99" s="606"/>
      <c r="CV99" s="606"/>
      <c r="CW99" s="606"/>
      <c r="CX99" s="606"/>
      <c r="CY99" s="606"/>
      <c r="CZ99" s="606"/>
      <c r="DA99" s="606"/>
      <c r="DB99" s="606"/>
      <c r="DC99" s="606"/>
      <c r="DD99" s="606"/>
      <c r="DE99" s="606"/>
      <c r="DF99" s="606"/>
      <c r="DG99" s="606"/>
      <c r="DH99" s="606"/>
      <c r="DI99" s="606"/>
      <c r="DJ99" s="606"/>
      <c r="DK99" s="606"/>
      <c r="DL99" s="606"/>
      <c r="DM99" s="606"/>
      <c r="DN99" s="606"/>
      <c r="DO99" s="606"/>
      <c r="DP99" s="606"/>
      <c r="DQ99" s="606"/>
      <c r="DR99" s="606"/>
      <c r="DS99" s="606"/>
      <c r="DT99" s="606"/>
      <c r="DU99" s="606"/>
      <c r="DV99" s="606"/>
      <c r="DW99" s="606"/>
      <c r="DX99" s="606"/>
    </row>
    <row r="100" spans="1:128" ht="15.75" customHeight="1" thickBot="1" x14ac:dyDescent="0.3">
      <c r="A100" s="1"/>
      <c r="B100" s="511"/>
      <c r="C100" s="61" t="s">
        <v>279</v>
      </c>
      <c r="D100" s="61"/>
      <c r="E100" s="17"/>
      <c r="F100" s="17"/>
      <c r="G100" s="51"/>
      <c r="H100" s="61"/>
      <c r="I100" s="18"/>
      <c r="J100" s="6"/>
      <c r="K100" s="650"/>
      <c r="L100" s="376"/>
      <c r="M100" s="376"/>
      <c r="N100" s="376"/>
      <c r="O100" s="536" t="s">
        <v>96</v>
      </c>
      <c r="P100" s="69"/>
      <c r="Q100" s="75" t="s">
        <v>92</v>
      </c>
      <c r="R100" s="76" t="s">
        <v>92</v>
      </c>
      <c r="S100" s="71">
        <f>IF($R$85="prismático",T92,"----")</f>
        <v>2.5</v>
      </c>
      <c r="T100" s="72" t="str">
        <f>IF($R$85="cilíndrico","----","----")</f>
        <v>----</v>
      </c>
      <c r="U100" s="376"/>
      <c r="V100" s="384"/>
      <c r="W100" s="6"/>
      <c r="X100" s="471"/>
      <c r="Y100" s="471"/>
      <c r="Z100" s="471"/>
      <c r="AA100" s="471"/>
      <c r="AB100" s="471"/>
      <c r="AC100" s="471"/>
      <c r="AD100" s="471"/>
      <c r="AE100" s="471"/>
      <c r="AF100" s="471"/>
      <c r="AG100" s="471"/>
      <c r="AH100" s="471"/>
      <c r="AI100" s="471"/>
      <c r="AJ100" s="471"/>
      <c r="AK100" s="471"/>
      <c r="AL100" s="471"/>
      <c r="AM100" s="471"/>
      <c r="AN100" s="471"/>
      <c r="AO100" s="471"/>
      <c r="AP100" s="471"/>
      <c r="AQ100" s="471"/>
      <c r="AR100" s="471"/>
      <c r="AS100" s="471"/>
      <c r="AT100" s="471"/>
      <c r="AU100" s="471"/>
      <c r="AV100" s="471"/>
      <c r="AW100" s="471"/>
      <c r="AX100" s="471"/>
      <c r="AY100" s="471"/>
      <c r="AZ100" s="471"/>
      <c r="BA100" s="471"/>
      <c r="BB100" s="471"/>
      <c r="BC100" s="471"/>
      <c r="BD100" s="471"/>
      <c r="BE100" s="471"/>
      <c r="BF100" s="471"/>
      <c r="BG100" s="471"/>
      <c r="BH100" s="471"/>
      <c r="BI100" s="471"/>
      <c r="BJ100" s="471"/>
      <c r="BK100" s="798"/>
      <c r="BL100" s="884"/>
      <c r="BM100" s="884"/>
      <c r="BN100" s="884"/>
      <c r="BO100" s="884"/>
      <c r="BP100" s="884"/>
      <c r="BQ100" s="882"/>
      <c r="BR100" s="884"/>
      <c r="BS100" s="884"/>
      <c r="BT100" s="884"/>
      <c r="BU100" s="884"/>
      <c r="BV100" s="865"/>
      <c r="BW100" s="865"/>
      <c r="BX100" s="865"/>
      <c r="BY100" s="865"/>
      <c r="BZ100" s="865"/>
      <c r="CA100" s="865"/>
      <c r="CB100" s="865"/>
      <c r="CC100" s="865"/>
      <c r="CD100" s="865"/>
      <c r="CE100" s="606"/>
      <c r="CF100" s="606"/>
      <c r="CG100" s="606"/>
      <c r="CH100" s="606"/>
      <c r="CI100" s="606"/>
      <c r="CJ100" s="606"/>
      <c r="CK100" s="606"/>
      <c r="CL100" s="606"/>
      <c r="CM100" s="606"/>
      <c r="CN100" s="606"/>
      <c r="CO100" s="606"/>
      <c r="CP100" s="606"/>
      <c r="CQ100" s="606"/>
      <c r="CR100" s="606"/>
      <c r="CS100" s="606"/>
      <c r="CT100" s="606"/>
      <c r="CU100" s="606"/>
      <c r="CV100" s="606"/>
      <c r="CW100" s="606"/>
      <c r="CX100" s="606"/>
      <c r="CY100" s="606"/>
      <c r="CZ100" s="606"/>
      <c r="DA100" s="606"/>
      <c r="DB100" s="606"/>
      <c r="DC100" s="606"/>
      <c r="DD100" s="606"/>
      <c r="DE100" s="606"/>
      <c r="DF100" s="606"/>
      <c r="DG100" s="606"/>
      <c r="DH100" s="606"/>
      <c r="DI100" s="606"/>
      <c r="DJ100" s="606"/>
      <c r="DK100" s="606"/>
      <c r="DL100" s="606"/>
      <c r="DM100" s="606"/>
      <c r="DN100" s="606"/>
      <c r="DO100" s="606"/>
      <c r="DP100" s="606"/>
      <c r="DQ100" s="606"/>
      <c r="DR100" s="606"/>
      <c r="DS100" s="606"/>
      <c r="DT100" s="606"/>
      <c r="DU100" s="606"/>
      <c r="DV100" s="606"/>
      <c r="DW100" s="606"/>
      <c r="DX100" s="606"/>
    </row>
    <row r="101" spans="1:128" ht="15.75" customHeight="1" thickBot="1" x14ac:dyDescent="0.3">
      <c r="A101" s="1"/>
      <c r="B101" s="501"/>
      <c r="C101" s="110"/>
      <c r="D101" s="61"/>
      <c r="E101" s="110"/>
      <c r="F101" s="110"/>
      <c r="G101" s="51"/>
      <c r="H101" s="61"/>
      <c r="I101" s="502"/>
      <c r="J101" s="6"/>
      <c r="K101" s="650"/>
      <c r="L101" s="376"/>
      <c r="M101" s="376"/>
      <c r="N101" s="376"/>
      <c r="O101" s="537" t="s">
        <v>97</v>
      </c>
      <c r="P101" s="77"/>
      <c r="Q101" s="78" t="str">
        <f>IF(R85="cilíndrico","----","2:1")</f>
        <v>2:1</v>
      </c>
      <c r="R101" s="79" t="str">
        <f>IF(R85="cilíndrico","----","4:1")</f>
        <v>4:1</v>
      </c>
      <c r="S101" s="80">
        <f>IF($R$85="prismático",(T92/S92),"----")</f>
        <v>2.5</v>
      </c>
      <c r="T101" s="67" t="str">
        <f>IF($R$85="prismático",IF(AND(S101&gt;=2,S101&lt;=4),"Atende","Não Atende"),"---- ")</f>
        <v>Atende</v>
      </c>
      <c r="U101" s="376"/>
      <c r="V101" s="384"/>
      <c r="W101" s="6"/>
      <c r="X101" s="470"/>
      <c r="Y101" s="470"/>
      <c r="Z101" s="470"/>
      <c r="AA101" s="470"/>
      <c r="AB101" s="470"/>
      <c r="AC101" s="470"/>
      <c r="AD101" s="470"/>
      <c r="AE101" s="470"/>
      <c r="AF101" s="470"/>
      <c r="AG101" s="470"/>
      <c r="AH101" s="470"/>
      <c r="AI101" s="470"/>
      <c r="AJ101" s="470"/>
      <c r="AK101" s="470"/>
      <c r="AL101" s="470"/>
      <c r="AM101" s="470"/>
      <c r="AN101" s="470"/>
      <c r="AO101" s="470"/>
      <c r="AP101" s="470"/>
      <c r="AQ101" s="470"/>
      <c r="AR101" s="470"/>
      <c r="AS101" s="470"/>
      <c r="AT101" s="470"/>
      <c r="AU101" s="470"/>
      <c r="AV101" s="470"/>
      <c r="AW101" s="470"/>
      <c r="AX101" s="470"/>
      <c r="AY101" s="470"/>
      <c r="AZ101" s="470"/>
      <c r="BA101" s="470"/>
      <c r="BB101" s="470"/>
      <c r="BC101" s="470"/>
      <c r="BD101" s="470"/>
      <c r="BE101" s="470"/>
      <c r="BF101" s="470"/>
      <c r="BG101" s="470"/>
      <c r="BH101" s="470"/>
      <c r="BI101" s="470"/>
      <c r="BJ101" s="470"/>
      <c r="BK101" s="798"/>
      <c r="BL101" s="884"/>
      <c r="BM101" s="884"/>
      <c r="BN101" s="884"/>
      <c r="BO101" s="884"/>
      <c r="BP101" s="884"/>
      <c r="BQ101" s="884"/>
      <c r="BR101" s="884"/>
      <c r="BS101" s="884"/>
      <c r="BT101" s="884"/>
      <c r="BU101" s="884"/>
      <c r="BV101" s="865"/>
      <c r="BW101" s="865"/>
      <c r="BX101" s="865"/>
      <c r="BY101" s="865"/>
      <c r="BZ101" s="865"/>
      <c r="CA101" s="865"/>
      <c r="CB101" s="865"/>
      <c r="CC101" s="865"/>
      <c r="CD101" s="865"/>
      <c r="CE101" s="606"/>
      <c r="CF101" s="606"/>
      <c r="CG101" s="606"/>
      <c r="CH101" s="606"/>
      <c r="CI101" s="606"/>
      <c r="CJ101" s="606"/>
      <c r="CK101" s="606"/>
      <c r="CL101" s="606"/>
      <c r="CM101" s="606"/>
      <c r="CN101" s="606"/>
      <c r="CO101" s="606"/>
      <c r="CP101" s="606"/>
      <c r="CQ101" s="606"/>
      <c r="CR101" s="606"/>
      <c r="CS101" s="606"/>
      <c r="CT101" s="606"/>
      <c r="CU101" s="606"/>
      <c r="CV101" s="606"/>
      <c r="CW101" s="606"/>
      <c r="CX101" s="606"/>
      <c r="CY101" s="606"/>
      <c r="CZ101" s="606"/>
      <c r="DA101" s="606"/>
      <c r="DB101" s="606"/>
      <c r="DC101" s="606"/>
      <c r="DD101" s="606"/>
      <c r="DE101" s="606"/>
      <c r="DF101" s="606"/>
      <c r="DG101" s="606"/>
      <c r="DH101" s="606"/>
      <c r="DI101" s="606"/>
      <c r="DJ101" s="606"/>
      <c r="DK101" s="606"/>
      <c r="DL101" s="606"/>
      <c r="DM101" s="606"/>
      <c r="DN101" s="606"/>
      <c r="DO101" s="606"/>
      <c r="DP101" s="606"/>
      <c r="DQ101" s="606"/>
      <c r="DR101" s="606"/>
      <c r="DS101" s="606"/>
      <c r="DT101" s="606"/>
      <c r="DU101" s="606"/>
      <c r="DV101" s="606"/>
      <c r="DW101" s="606"/>
      <c r="DX101" s="606"/>
    </row>
    <row r="102" spans="1:128" ht="15.75" customHeight="1" thickBot="1" x14ac:dyDescent="0.3">
      <c r="A102" s="1"/>
      <c r="B102" s="501"/>
      <c r="C102" s="61" t="s">
        <v>233</v>
      </c>
      <c r="D102" s="61" t="s">
        <v>232</v>
      </c>
      <c r="E102" s="110"/>
      <c r="F102" s="110"/>
      <c r="G102" s="51"/>
      <c r="H102" s="61"/>
      <c r="I102" s="502"/>
      <c r="J102" s="6"/>
      <c r="K102" s="650"/>
      <c r="L102" s="376"/>
      <c r="M102" s="376"/>
      <c r="N102" s="376"/>
      <c r="O102" s="62" t="s">
        <v>312</v>
      </c>
      <c r="P102" s="521"/>
      <c r="Q102" s="301">
        <f>IF(U82&lt;=1000,"1.000,00",U82)</f>
        <v>2325</v>
      </c>
      <c r="R102" s="91" t="s">
        <v>92</v>
      </c>
      <c r="S102" s="83">
        <f>IF(R85="cilíndrico",T89,U92)</f>
        <v>5000</v>
      </c>
      <c r="T102" s="67" t="str">
        <f>IF(S102&gt;=Q102,"Atende","Não atende")</f>
        <v>Atende</v>
      </c>
      <c r="U102" s="376"/>
      <c r="V102" s="384"/>
      <c r="W102" s="6"/>
      <c r="X102" s="470"/>
      <c r="Y102" s="470"/>
      <c r="Z102" s="470"/>
      <c r="AA102" s="470"/>
      <c r="AB102" s="470"/>
      <c r="AC102" s="470"/>
      <c r="AD102" s="470"/>
      <c r="AE102" s="470"/>
      <c r="AF102" s="470"/>
      <c r="AG102" s="470"/>
      <c r="AH102" s="470"/>
      <c r="AI102" s="470"/>
      <c r="AJ102" s="470"/>
      <c r="AK102" s="470"/>
      <c r="AL102" s="470"/>
      <c r="AM102" s="470"/>
      <c r="AN102" s="470"/>
      <c r="AO102" s="470"/>
      <c r="AP102" s="470"/>
      <c r="AQ102" s="470"/>
      <c r="AR102" s="470"/>
      <c r="AS102" s="470"/>
      <c r="AT102" s="470"/>
      <c r="AU102" s="470"/>
      <c r="AV102" s="470"/>
      <c r="AW102" s="470"/>
      <c r="AX102" s="470"/>
      <c r="AY102" s="470"/>
      <c r="AZ102" s="470"/>
      <c r="BA102" s="470"/>
      <c r="BB102" s="470"/>
      <c r="BC102" s="470"/>
      <c r="BD102" s="470"/>
      <c r="BE102" s="470"/>
      <c r="BF102" s="470"/>
      <c r="BG102" s="470"/>
      <c r="BH102" s="470"/>
      <c r="BI102" s="470"/>
      <c r="BJ102" s="470"/>
      <c r="BK102" s="798"/>
      <c r="BL102" s="884"/>
      <c r="BM102" s="884"/>
      <c r="BN102" s="884"/>
      <c r="BO102" s="884"/>
      <c r="BP102" s="884"/>
      <c r="BQ102" s="884"/>
      <c r="BR102" s="884"/>
      <c r="BS102" s="884"/>
      <c r="BT102" s="884"/>
      <c r="BU102" s="884"/>
      <c r="BV102" s="865"/>
      <c r="BW102" s="865"/>
      <c r="BX102" s="865"/>
      <c r="BY102" s="865"/>
      <c r="BZ102" s="865"/>
      <c r="CA102" s="865"/>
      <c r="CB102" s="865"/>
      <c r="CC102" s="865"/>
      <c r="CD102" s="865"/>
      <c r="CE102" s="606"/>
      <c r="CF102" s="606"/>
      <c r="CG102" s="606"/>
      <c r="CH102" s="606"/>
      <c r="CI102" s="606"/>
      <c r="CJ102" s="606"/>
      <c r="CK102" s="606"/>
      <c r="CL102" s="606"/>
      <c r="CM102" s="606"/>
      <c r="CN102" s="606"/>
      <c r="CO102" s="606"/>
      <c r="CP102" s="606"/>
      <c r="CQ102" s="606"/>
      <c r="CR102" s="606"/>
      <c r="CS102" s="606"/>
      <c r="CT102" s="606"/>
      <c r="CU102" s="606"/>
      <c r="CV102" s="606"/>
      <c r="CW102" s="606"/>
      <c r="CX102" s="606"/>
      <c r="CY102" s="606"/>
      <c r="CZ102" s="606"/>
      <c r="DA102" s="606"/>
      <c r="DB102" s="606"/>
      <c r="DC102" s="606"/>
      <c r="DD102" s="606"/>
      <c r="DE102" s="606"/>
      <c r="DF102" s="606"/>
      <c r="DG102" s="606"/>
      <c r="DH102" s="606"/>
      <c r="DI102" s="606"/>
      <c r="DJ102" s="606"/>
      <c r="DK102" s="606"/>
      <c r="DL102" s="606"/>
      <c r="DM102" s="606"/>
      <c r="DN102" s="606"/>
      <c r="DO102" s="606"/>
      <c r="DP102" s="606"/>
      <c r="DQ102" s="606"/>
      <c r="DR102" s="606"/>
      <c r="DS102" s="606"/>
      <c r="DT102" s="606"/>
      <c r="DU102" s="606"/>
      <c r="DV102" s="606"/>
      <c r="DW102" s="606"/>
      <c r="DX102" s="606"/>
    </row>
    <row r="103" spans="1:128" ht="15.75" customHeight="1" x14ac:dyDescent="0.25">
      <c r="A103" s="1"/>
      <c r="B103" s="501"/>
      <c r="C103" s="61" t="s">
        <v>21</v>
      </c>
      <c r="D103" s="61" t="s">
        <v>234</v>
      </c>
      <c r="E103" s="110"/>
      <c r="F103" s="110"/>
      <c r="G103" s="51"/>
      <c r="H103" s="61"/>
      <c r="I103" s="502"/>
      <c r="J103" s="6"/>
      <c r="K103" s="650"/>
      <c r="L103" s="376"/>
      <c r="M103" s="376"/>
      <c r="N103" s="376"/>
      <c r="O103" s="376"/>
      <c r="P103" s="376"/>
      <c r="Q103" s="376"/>
      <c r="R103" s="376"/>
      <c r="S103" s="376"/>
      <c r="T103" s="376"/>
      <c r="U103" s="376"/>
      <c r="V103" s="384"/>
      <c r="W103" s="6"/>
      <c r="X103" s="470"/>
      <c r="Y103" s="470"/>
      <c r="Z103" s="470"/>
      <c r="AA103" s="470"/>
      <c r="AB103" s="470"/>
      <c r="AC103" s="470"/>
      <c r="AD103" s="470"/>
      <c r="AE103" s="470"/>
      <c r="AF103" s="470"/>
      <c r="AG103" s="470"/>
      <c r="AH103" s="470"/>
      <c r="AI103" s="470"/>
      <c r="AJ103" s="470"/>
      <c r="AK103" s="470"/>
      <c r="AL103" s="470"/>
      <c r="AM103" s="470"/>
      <c r="AN103" s="470"/>
      <c r="AO103" s="470"/>
      <c r="AP103" s="470"/>
      <c r="AQ103" s="470"/>
      <c r="AR103" s="470"/>
      <c r="AS103" s="470"/>
      <c r="AT103" s="470"/>
      <c r="AU103" s="470"/>
      <c r="AV103" s="470"/>
      <c r="AW103" s="470"/>
      <c r="AX103" s="470"/>
      <c r="AY103" s="470"/>
      <c r="AZ103" s="470"/>
      <c r="BA103" s="470"/>
      <c r="BB103" s="470"/>
      <c r="BC103" s="470"/>
      <c r="BD103" s="470"/>
      <c r="BE103" s="470"/>
      <c r="BF103" s="470"/>
      <c r="BG103" s="470"/>
      <c r="BH103" s="470"/>
      <c r="BI103" s="470"/>
      <c r="BJ103" s="470"/>
      <c r="BK103" s="798"/>
      <c r="BL103" s="884"/>
      <c r="BM103" s="884"/>
      <c r="BN103" s="884"/>
      <c r="BO103" s="884"/>
      <c r="BP103" s="884"/>
      <c r="BQ103" s="884"/>
      <c r="BR103" s="884"/>
      <c r="BS103" s="884"/>
      <c r="BT103" s="884"/>
      <c r="BU103" s="884"/>
      <c r="BV103" s="865"/>
      <c r="BW103" s="865"/>
      <c r="BX103" s="865"/>
      <c r="BY103" s="865"/>
      <c r="BZ103" s="865"/>
      <c r="CA103" s="865"/>
      <c r="CB103" s="865"/>
      <c r="CC103" s="865"/>
      <c r="CD103" s="865"/>
      <c r="CE103" s="606"/>
      <c r="CF103" s="606"/>
      <c r="CG103" s="606"/>
      <c r="CH103" s="606"/>
      <c r="CI103" s="606"/>
      <c r="CJ103" s="606"/>
      <c r="CK103" s="606"/>
      <c r="CL103" s="606"/>
      <c r="CM103" s="606"/>
      <c r="CN103" s="606"/>
      <c r="CO103" s="606"/>
      <c r="CP103" s="606"/>
      <c r="CQ103" s="606"/>
      <c r="CR103" s="606"/>
      <c r="CS103" s="606"/>
      <c r="CT103" s="606"/>
      <c r="CU103" s="606"/>
      <c r="CV103" s="606"/>
      <c r="CW103" s="606"/>
      <c r="CX103" s="606"/>
      <c r="CY103" s="606"/>
      <c r="CZ103" s="606"/>
      <c r="DA103" s="606"/>
      <c r="DB103" s="606"/>
      <c r="DC103" s="606"/>
      <c r="DD103" s="606"/>
      <c r="DE103" s="606"/>
      <c r="DF103" s="606"/>
      <c r="DG103" s="606"/>
      <c r="DH103" s="606"/>
      <c r="DI103" s="606"/>
      <c r="DJ103" s="606"/>
      <c r="DK103" s="606"/>
      <c r="DL103" s="606"/>
      <c r="DM103" s="606"/>
      <c r="DN103" s="606"/>
      <c r="DO103" s="606"/>
      <c r="DP103" s="606"/>
      <c r="DQ103" s="606"/>
      <c r="DR103" s="606"/>
      <c r="DS103" s="606"/>
      <c r="DT103" s="606"/>
      <c r="DU103" s="606"/>
      <c r="DV103" s="606"/>
      <c r="DW103" s="606"/>
      <c r="DX103" s="606"/>
    </row>
    <row r="104" spans="1:128" ht="15.75" customHeight="1" x14ac:dyDescent="0.25">
      <c r="A104" s="1"/>
      <c r="B104" s="501"/>
      <c r="C104" s="61"/>
      <c r="D104" s="61" t="s">
        <v>286</v>
      </c>
      <c r="E104" s="110"/>
      <c r="F104" s="110"/>
      <c r="G104" s="51"/>
      <c r="H104" s="61"/>
      <c r="I104" s="502"/>
      <c r="J104" s="6"/>
      <c r="K104" s="650"/>
      <c r="L104" s="376"/>
      <c r="M104" s="26"/>
      <c r="N104" s="296"/>
      <c r="O104" s="296" t="s">
        <v>219</v>
      </c>
      <c r="P104" s="56"/>
      <c r="Q104" s="56"/>
      <c r="R104" s="297"/>
      <c r="S104" s="298"/>
      <c r="T104" s="299"/>
      <c r="U104" s="376"/>
      <c r="V104" s="384"/>
      <c r="W104" s="6"/>
      <c r="X104" s="470"/>
      <c r="Y104" s="470"/>
      <c r="Z104" s="470"/>
      <c r="AA104" s="470"/>
      <c r="AB104" s="470"/>
      <c r="AC104" s="470"/>
      <c r="AD104" s="470"/>
      <c r="AE104" s="470"/>
      <c r="AF104" s="470"/>
      <c r="AG104" s="470"/>
      <c r="AH104" s="470"/>
      <c r="AI104" s="470"/>
      <c r="AJ104" s="470"/>
      <c r="AK104" s="470"/>
      <c r="AL104" s="470"/>
      <c r="AM104" s="470"/>
      <c r="AN104" s="470"/>
      <c r="AO104" s="470"/>
      <c r="AP104" s="470"/>
      <c r="AQ104" s="470"/>
      <c r="AR104" s="470"/>
      <c r="AS104" s="470"/>
      <c r="AT104" s="470"/>
      <c r="AU104" s="470"/>
      <c r="AV104" s="470"/>
      <c r="AW104" s="470"/>
      <c r="AX104" s="470"/>
      <c r="AY104" s="470"/>
      <c r="AZ104" s="470"/>
      <c r="BA104" s="470"/>
      <c r="BB104" s="470"/>
      <c r="BC104" s="470"/>
      <c r="BD104" s="470"/>
      <c r="BE104" s="470"/>
      <c r="BF104" s="470"/>
      <c r="BG104" s="470"/>
      <c r="BH104" s="470"/>
      <c r="BI104" s="470"/>
      <c r="BJ104" s="470"/>
      <c r="BK104" s="798"/>
      <c r="BL104" s="884"/>
      <c r="BM104" s="884"/>
      <c r="BN104" s="884"/>
      <c r="BO104" s="884"/>
      <c r="BP104" s="884"/>
      <c r="BQ104" s="884"/>
      <c r="BR104" s="884"/>
      <c r="BS104" s="884"/>
      <c r="BT104" s="884"/>
      <c r="BU104" s="884"/>
      <c r="BV104" s="865"/>
      <c r="BW104" s="865"/>
      <c r="BX104" s="865"/>
      <c r="BY104" s="865"/>
      <c r="BZ104" s="865"/>
      <c r="CA104" s="865"/>
      <c r="CB104" s="865"/>
      <c r="CC104" s="865"/>
      <c r="CD104" s="865"/>
      <c r="CE104" s="606"/>
      <c r="CF104" s="606"/>
      <c r="CG104" s="606"/>
      <c r="CH104" s="606"/>
      <c r="CI104" s="606"/>
      <c r="CJ104" s="606"/>
      <c r="CK104" s="606"/>
      <c r="CL104" s="606"/>
      <c r="CM104" s="606"/>
      <c r="CN104" s="606"/>
      <c r="CO104" s="606"/>
      <c r="CP104" s="606"/>
      <c r="CQ104" s="606"/>
      <c r="CR104" s="606"/>
      <c r="CS104" s="606"/>
      <c r="CT104" s="606"/>
      <c r="CU104" s="606"/>
      <c r="CV104" s="606"/>
      <c r="CW104" s="606"/>
      <c r="CX104" s="606"/>
      <c r="CY104" s="606"/>
      <c r="CZ104" s="606"/>
      <c r="DA104" s="606"/>
      <c r="DB104" s="606"/>
      <c r="DC104" s="606"/>
      <c r="DD104" s="606"/>
      <c r="DE104" s="606"/>
      <c r="DF104" s="606"/>
      <c r="DG104" s="606"/>
      <c r="DH104" s="606"/>
      <c r="DI104" s="606"/>
      <c r="DJ104" s="606"/>
      <c r="DK104" s="606"/>
      <c r="DL104" s="606"/>
      <c r="DM104" s="606"/>
      <c r="DN104" s="606"/>
      <c r="DO104" s="606"/>
      <c r="DP104" s="606"/>
      <c r="DQ104" s="606"/>
      <c r="DR104" s="606"/>
      <c r="DS104" s="606"/>
      <c r="DT104" s="606"/>
      <c r="DU104" s="606"/>
      <c r="DV104" s="606"/>
      <c r="DW104" s="606"/>
      <c r="DX104" s="606"/>
    </row>
    <row r="105" spans="1:128" ht="15.75" customHeight="1" x14ac:dyDescent="0.25">
      <c r="A105" s="1"/>
      <c r="B105" s="501"/>
      <c r="C105" s="61" t="s">
        <v>230</v>
      </c>
      <c r="D105" s="61" t="s">
        <v>238</v>
      </c>
      <c r="E105" s="110"/>
      <c r="F105" s="110"/>
      <c r="G105" s="51"/>
      <c r="H105" s="61"/>
      <c r="I105" s="502"/>
      <c r="J105" s="6"/>
      <c r="K105" s="650"/>
      <c r="L105" s="376"/>
      <c r="M105" s="26"/>
      <c r="N105" s="26"/>
      <c r="O105" s="296"/>
      <c r="P105" s="56"/>
      <c r="Q105" s="56"/>
      <c r="R105" s="297"/>
      <c r="S105" s="298"/>
      <c r="T105" s="299"/>
      <c r="U105" s="376"/>
      <c r="V105" s="384"/>
      <c r="W105" s="6"/>
      <c r="X105" s="470"/>
      <c r="Y105" s="470"/>
      <c r="Z105" s="470"/>
      <c r="AA105" s="470"/>
      <c r="AB105" s="470"/>
      <c r="AC105" s="470"/>
      <c r="AD105" s="470"/>
      <c r="AE105" s="470"/>
      <c r="AF105" s="470"/>
      <c r="AG105" s="470"/>
      <c r="AH105" s="470"/>
      <c r="AI105" s="470"/>
      <c r="AJ105" s="470"/>
      <c r="AK105" s="470"/>
      <c r="AL105" s="470"/>
      <c r="AM105" s="470"/>
      <c r="AN105" s="470"/>
      <c r="AO105" s="470"/>
      <c r="AP105" s="470"/>
      <c r="AQ105" s="470"/>
      <c r="AR105" s="470"/>
      <c r="AS105" s="470"/>
      <c r="AT105" s="470"/>
      <c r="AU105" s="470"/>
      <c r="AV105" s="470"/>
      <c r="AW105" s="470"/>
      <c r="AX105" s="470"/>
      <c r="AY105" s="470"/>
      <c r="AZ105" s="470"/>
      <c r="BA105" s="470"/>
      <c r="BB105" s="470"/>
      <c r="BC105" s="470"/>
      <c r="BD105" s="470"/>
      <c r="BE105" s="470"/>
      <c r="BF105" s="470"/>
      <c r="BG105" s="470"/>
      <c r="BH105" s="470"/>
      <c r="BI105" s="470"/>
      <c r="BJ105" s="470"/>
      <c r="BK105" s="798"/>
      <c r="BL105" s="822"/>
      <c r="BM105" s="884"/>
      <c r="BN105" s="884"/>
      <c r="BO105" s="884"/>
      <c r="BP105" s="884"/>
      <c r="BQ105" s="884"/>
      <c r="BR105" s="884"/>
      <c r="BS105" s="884"/>
      <c r="BT105" s="884"/>
      <c r="BU105" s="884"/>
      <c r="BV105" s="865"/>
      <c r="BW105" s="865"/>
      <c r="BX105" s="865"/>
      <c r="BY105" s="865"/>
      <c r="BZ105" s="865"/>
      <c r="CA105" s="865"/>
      <c r="CB105" s="865"/>
      <c r="CC105" s="865"/>
      <c r="CD105" s="865"/>
      <c r="CE105" s="606"/>
      <c r="CF105" s="606"/>
      <c r="CG105" s="606"/>
      <c r="CH105" s="606"/>
      <c r="CI105" s="606"/>
      <c r="CJ105" s="606"/>
      <c r="CK105" s="606"/>
      <c r="CL105" s="606"/>
      <c r="CM105" s="606"/>
      <c r="CN105" s="606"/>
      <c r="CO105" s="606"/>
      <c r="CP105" s="606"/>
      <c r="CQ105" s="606"/>
      <c r="CR105" s="606"/>
      <c r="CS105" s="606"/>
      <c r="CT105" s="606"/>
      <c r="CU105" s="606"/>
      <c r="CV105" s="606"/>
      <c r="CW105" s="606"/>
      <c r="CX105" s="606"/>
      <c r="CY105" s="606"/>
      <c r="CZ105" s="606"/>
      <c r="DA105" s="606"/>
      <c r="DB105" s="606"/>
      <c r="DC105" s="606"/>
      <c r="DD105" s="606"/>
      <c r="DE105" s="606"/>
      <c r="DF105" s="606"/>
      <c r="DG105" s="606"/>
      <c r="DH105" s="606"/>
      <c r="DI105" s="606"/>
      <c r="DJ105" s="606"/>
      <c r="DK105" s="606"/>
      <c r="DL105" s="606"/>
      <c r="DM105" s="606"/>
      <c r="DN105" s="606"/>
      <c r="DO105" s="606"/>
      <c r="DP105" s="606"/>
      <c r="DQ105" s="606"/>
      <c r="DR105" s="606"/>
      <c r="DS105" s="606"/>
      <c r="DT105" s="606"/>
      <c r="DU105" s="606"/>
      <c r="DV105" s="606"/>
      <c r="DW105" s="606"/>
      <c r="DX105" s="606"/>
    </row>
    <row r="106" spans="1:128" ht="15.75" customHeight="1" x14ac:dyDescent="0.25">
      <c r="A106" s="1"/>
      <c r="B106" s="501"/>
      <c r="C106" s="61" t="s">
        <v>236</v>
      </c>
      <c r="D106" s="61" t="s">
        <v>235</v>
      </c>
      <c r="E106" s="110"/>
      <c r="F106" s="110"/>
      <c r="G106" s="51"/>
      <c r="H106" s="61"/>
      <c r="I106" s="502"/>
      <c r="J106" s="6"/>
      <c r="K106" s="650"/>
      <c r="L106" s="376"/>
      <c r="M106" s="26"/>
      <c r="N106" s="26"/>
      <c r="O106" s="296" t="s">
        <v>220</v>
      </c>
      <c r="P106" s="56"/>
      <c r="Q106" s="56"/>
      <c r="R106" s="297"/>
      <c r="S106" s="298"/>
      <c r="T106" s="299"/>
      <c r="U106" s="376"/>
      <c r="V106" s="384"/>
      <c r="W106" s="6"/>
      <c r="X106" s="470"/>
      <c r="Y106" s="470"/>
      <c r="Z106" s="470"/>
      <c r="AA106" s="470"/>
      <c r="AB106" s="470"/>
      <c r="AC106" s="470"/>
      <c r="AD106" s="470"/>
      <c r="AE106" s="470"/>
      <c r="AF106" s="470"/>
      <c r="AG106" s="470"/>
      <c r="AH106" s="470"/>
      <c r="AI106" s="470"/>
      <c r="AJ106" s="470"/>
      <c r="AK106" s="470"/>
      <c r="AL106" s="470"/>
      <c r="AM106" s="470"/>
      <c r="AN106" s="470"/>
      <c r="AO106" s="470"/>
      <c r="AP106" s="470"/>
      <c r="AQ106" s="470"/>
      <c r="AR106" s="470"/>
      <c r="AS106" s="470"/>
      <c r="AT106" s="470"/>
      <c r="AU106" s="470"/>
      <c r="AV106" s="470"/>
      <c r="AW106" s="470"/>
      <c r="AX106" s="470"/>
      <c r="AY106" s="470"/>
      <c r="AZ106" s="470"/>
      <c r="BA106" s="470"/>
      <c r="BB106" s="470"/>
      <c r="BC106" s="470"/>
      <c r="BD106" s="470"/>
      <c r="BE106" s="470"/>
      <c r="BF106" s="470"/>
      <c r="BG106" s="470"/>
      <c r="BH106" s="470"/>
      <c r="BI106" s="470"/>
      <c r="BJ106" s="470"/>
      <c r="BK106" s="798"/>
      <c r="BL106" s="822"/>
      <c r="BM106" s="884"/>
      <c r="BN106" s="884"/>
      <c r="BO106" s="884"/>
      <c r="BP106" s="884"/>
      <c r="BQ106" s="884"/>
      <c r="BR106" s="884"/>
      <c r="BS106" s="884"/>
      <c r="BT106" s="884"/>
      <c r="BU106" s="884"/>
      <c r="BV106" s="865"/>
      <c r="BW106" s="865"/>
      <c r="BX106" s="865"/>
      <c r="BY106" s="865"/>
      <c r="BZ106" s="865"/>
      <c r="CA106" s="865"/>
      <c r="CB106" s="865"/>
      <c r="CC106" s="865"/>
      <c r="CD106" s="865"/>
      <c r="CE106" s="606"/>
      <c r="CF106" s="606"/>
      <c r="CG106" s="606"/>
      <c r="CH106" s="606"/>
      <c r="CI106" s="606"/>
      <c r="CJ106" s="606"/>
      <c r="CK106" s="606"/>
      <c r="CL106" s="606"/>
      <c r="CM106" s="606"/>
      <c r="CN106" s="606"/>
      <c r="CO106" s="606"/>
      <c r="CP106" s="606"/>
      <c r="CQ106" s="606"/>
      <c r="CR106" s="606"/>
      <c r="CS106" s="606"/>
      <c r="CT106" s="606"/>
      <c r="CU106" s="606"/>
      <c r="CV106" s="606"/>
      <c r="CW106" s="606"/>
      <c r="CX106" s="606"/>
      <c r="CY106" s="606"/>
      <c r="CZ106" s="606"/>
      <c r="DA106" s="606"/>
      <c r="DB106" s="606"/>
      <c r="DC106" s="606"/>
      <c r="DD106" s="606"/>
      <c r="DE106" s="606"/>
      <c r="DF106" s="606"/>
      <c r="DG106" s="606"/>
      <c r="DH106" s="606"/>
      <c r="DI106" s="606"/>
      <c r="DJ106" s="606"/>
      <c r="DK106" s="606"/>
      <c r="DL106" s="606"/>
      <c r="DM106" s="606"/>
      <c r="DN106" s="606"/>
      <c r="DO106" s="606"/>
      <c r="DP106" s="606"/>
      <c r="DQ106" s="606"/>
      <c r="DR106" s="606"/>
      <c r="DS106" s="606"/>
      <c r="DT106" s="606"/>
      <c r="DU106" s="606"/>
      <c r="DV106" s="606"/>
      <c r="DW106" s="606"/>
      <c r="DX106" s="606"/>
    </row>
    <row r="107" spans="1:128" ht="15.75" customHeight="1" x14ac:dyDescent="0.25">
      <c r="A107" s="1"/>
      <c r="B107" s="501"/>
      <c r="C107" s="110"/>
      <c r="D107" s="110"/>
      <c r="E107" s="110"/>
      <c r="F107" s="110"/>
      <c r="G107" s="61"/>
      <c r="H107" s="61"/>
      <c r="I107" s="502"/>
      <c r="J107" s="6"/>
      <c r="K107" s="650"/>
      <c r="L107" s="376"/>
      <c r="M107" s="26"/>
      <c r="N107" s="26"/>
      <c r="O107" s="296" t="s">
        <v>221</v>
      </c>
      <c r="P107" s="56"/>
      <c r="Q107" s="56"/>
      <c r="R107" s="297"/>
      <c r="S107" s="298"/>
      <c r="T107" s="299"/>
      <c r="U107" s="376"/>
      <c r="V107" s="384"/>
      <c r="W107" s="6"/>
      <c r="X107" s="470"/>
      <c r="Y107" s="470"/>
      <c r="Z107" s="470"/>
      <c r="AA107" s="470"/>
      <c r="AB107" s="470"/>
      <c r="AC107" s="470"/>
      <c r="AD107" s="470"/>
      <c r="AE107" s="470"/>
      <c r="AF107" s="470"/>
      <c r="AG107" s="470"/>
      <c r="AH107" s="470"/>
      <c r="AI107" s="470"/>
      <c r="AJ107" s="470"/>
      <c r="AK107" s="470"/>
      <c r="AL107" s="470"/>
      <c r="AM107" s="470"/>
      <c r="AN107" s="470"/>
      <c r="AO107" s="470"/>
      <c r="AP107" s="470"/>
      <c r="AQ107" s="470"/>
      <c r="AR107" s="470"/>
      <c r="AS107" s="470"/>
      <c r="AT107" s="470"/>
      <c r="AU107" s="470"/>
      <c r="AV107" s="470"/>
      <c r="AW107" s="470"/>
      <c r="AX107" s="470"/>
      <c r="AY107" s="470"/>
      <c r="AZ107" s="470"/>
      <c r="BA107" s="470"/>
      <c r="BB107" s="470"/>
      <c r="BC107" s="470"/>
      <c r="BD107" s="470"/>
      <c r="BE107" s="470"/>
      <c r="BF107" s="470"/>
      <c r="BG107" s="470"/>
      <c r="BH107" s="470"/>
      <c r="BI107" s="470"/>
      <c r="BJ107" s="470"/>
      <c r="BK107" s="798"/>
      <c r="BL107" s="884"/>
      <c r="BM107" s="884"/>
      <c r="BN107" s="884"/>
      <c r="BO107" s="884"/>
      <c r="BP107" s="884"/>
      <c r="BQ107" s="884"/>
      <c r="BR107" s="884"/>
      <c r="BS107" s="884"/>
      <c r="BT107" s="884"/>
      <c r="BU107" s="884"/>
      <c r="BV107" s="865"/>
      <c r="BW107" s="865"/>
      <c r="BX107" s="865"/>
      <c r="BY107" s="865"/>
      <c r="BZ107" s="865"/>
      <c r="CA107" s="865"/>
      <c r="CB107" s="865"/>
      <c r="CC107" s="865"/>
      <c r="CD107" s="865"/>
      <c r="CE107" s="606"/>
      <c r="CF107" s="606"/>
      <c r="CG107" s="606"/>
      <c r="CH107" s="606"/>
      <c r="CI107" s="606"/>
      <c r="CJ107" s="606"/>
      <c r="CK107" s="606"/>
      <c r="CL107" s="606"/>
      <c r="CM107" s="606"/>
      <c r="CN107" s="606"/>
      <c r="CO107" s="606"/>
      <c r="CP107" s="606"/>
      <c r="CQ107" s="606"/>
      <c r="CR107" s="606"/>
      <c r="CS107" s="606"/>
      <c r="CT107" s="606"/>
      <c r="CU107" s="606"/>
      <c r="CV107" s="606"/>
      <c r="CW107" s="606"/>
      <c r="CX107" s="606"/>
      <c r="CY107" s="606"/>
      <c r="CZ107" s="606"/>
      <c r="DA107" s="606"/>
      <c r="DB107" s="606"/>
      <c r="DC107" s="606"/>
      <c r="DD107" s="606"/>
      <c r="DE107" s="606"/>
      <c r="DF107" s="606"/>
      <c r="DG107" s="606"/>
      <c r="DH107" s="606"/>
      <c r="DI107" s="606"/>
      <c r="DJ107" s="606"/>
      <c r="DK107" s="606"/>
      <c r="DL107" s="606"/>
      <c r="DM107" s="606"/>
      <c r="DN107" s="606"/>
      <c r="DO107" s="606"/>
      <c r="DP107" s="606"/>
      <c r="DQ107" s="606"/>
      <c r="DR107" s="606"/>
      <c r="DS107" s="606"/>
      <c r="DT107" s="606"/>
      <c r="DU107" s="606"/>
      <c r="DV107" s="606"/>
      <c r="DW107" s="606"/>
      <c r="DX107" s="606"/>
    </row>
    <row r="108" spans="1:128" ht="15.75" customHeight="1" x14ac:dyDescent="0.25">
      <c r="A108" s="1"/>
      <c r="B108" s="501"/>
      <c r="C108" s="110"/>
      <c r="D108" s="110"/>
      <c r="E108" s="110"/>
      <c r="F108" s="110"/>
      <c r="G108" s="61"/>
      <c r="H108" s="61"/>
      <c r="I108" s="502"/>
      <c r="J108" s="14"/>
      <c r="K108" s="650"/>
      <c r="L108" s="376"/>
      <c r="M108" s="26"/>
      <c r="N108" s="26"/>
      <c r="O108" s="296" t="s">
        <v>223</v>
      </c>
      <c r="P108" s="56"/>
      <c r="Q108" s="56"/>
      <c r="R108" s="297"/>
      <c r="S108" s="298"/>
      <c r="T108" s="299"/>
      <c r="U108" s="376"/>
      <c r="V108" s="384"/>
      <c r="W108" s="6"/>
      <c r="X108" s="470"/>
      <c r="Y108" s="470"/>
      <c r="Z108" s="470"/>
      <c r="AA108" s="470"/>
      <c r="AB108" s="470"/>
      <c r="AC108" s="470"/>
      <c r="AD108" s="470"/>
      <c r="AE108" s="470"/>
      <c r="AF108" s="470"/>
      <c r="AG108" s="470"/>
      <c r="AH108" s="470"/>
      <c r="AI108" s="470"/>
      <c r="AJ108" s="470"/>
      <c r="AK108" s="470"/>
      <c r="AL108" s="470"/>
      <c r="AM108" s="470"/>
      <c r="AN108" s="470"/>
      <c r="AO108" s="470"/>
      <c r="AP108" s="470"/>
      <c r="AQ108" s="470"/>
      <c r="AR108" s="470"/>
      <c r="AS108" s="470"/>
      <c r="AT108" s="470"/>
      <c r="AU108" s="470"/>
      <c r="AV108" s="470"/>
      <c r="AW108" s="470"/>
      <c r="AX108" s="470"/>
      <c r="AY108" s="470"/>
      <c r="AZ108" s="470"/>
      <c r="BA108" s="470"/>
      <c r="BB108" s="470"/>
      <c r="BC108" s="470"/>
      <c r="BD108" s="470"/>
      <c r="BE108" s="470"/>
      <c r="BF108" s="470"/>
      <c r="BG108" s="470"/>
      <c r="BH108" s="470"/>
      <c r="BI108" s="470"/>
      <c r="BJ108" s="470"/>
      <c r="BK108" s="798"/>
      <c r="BL108" s="884"/>
      <c r="BM108" s="884"/>
      <c r="BN108" s="884"/>
      <c r="BO108" s="884"/>
      <c r="BP108" s="884"/>
      <c r="BQ108" s="884"/>
      <c r="BR108" s="884"/>
      <c r="BS108" s="884"/>
      <c r="BT108" s="884"/>
      <c r="BU108" s="884"/>
      <c r="BV108" s="865"/>
      <c r="BW108" s="865"/>
      <c r="BX108" s="865"/>
      <c r="BY108" s="865"/>
      <c r="BZ108" s="865"/>
      <c r="CA108" s="865"/>
      <c r="CB108" s="865"/>
      <c r="CC108" s="865"/>
      <c r="CD108" s="865"/>
      <c r="CE108" s="606"/>
      <c r="CF108" s="606"/>
      <c r="CG108" s="606"/>
      <c r="CH108" s="606"/>
      <c r="CI108" s="606"/>
      <c r="CJ108" s="606"/>
      <c r="CK108" s="606"/>
      <c r="CL108" s="606"/>
      <c r="CM108" s="606"/>
      <c r="CN108" s="606"/>
      <c r="CO108" s="606"/>
      <c r="CP108" s="606"/>
      <c r="CQ108" s="606"/>
      <c r="CR108" s="606"/>
      <c r="CS108" s="606"/>
      <c r="CT108" s="606"/>
      <c r="CU108" s="606"/>
      <c r="CV108" s="606"/>
      <c r="CW108" s="606"/>
      <c r="CX108" s="606"/>
      <c r="CY108" s="606"/>
      <c r="CZ108" s="606"/>
      <c r="DA108" s="606"/>
      <c r="DB108" s="606"/>
      <c r="DC108" s="606"/>
      <c r="DD108" s="606"/>
      <c r="DE108" s="606"/>
      <c r="DF108" s="606"/>
      <c r="DG108" s="606"/>
      <c r="DH108" s="606"/>
      <c r="DI108" s="606"/>
      <c r="DJ108" s="606"/>
      <c r="DK108" s="606"/>
      <c r="DL108" s="606"/>
      <c r="DM108" s="606"/>
      <c r="DN108" s="606"/>
      <c r="DO108" s="606"/>
      <c r="DP108" s="606"/>
      <c r="DQ108" s="606"/>
      <c r="DR108" s="606"/>
      <c r="DS108" s="606"/>
      <c r="DT108" s="606"/>
      <c r="DU108" s="606"/>
      <c r="DV108" s="606"/>
      <c r="DW108" s="606"/>
      <c r="DX108" s="606"/>
    </row>
    <row r="109" spans="1:128" ht="15.75" customHeight="1" x14ac:dyDescent="0.25">
      <c r="A109" s="1"/>
      <c r="B109" s="501"/>
      <c r="C109" s="110"/>
      <c r="D109" s="110"/>
      <c r="E109" s="110"/>
      <c r="F109" s="110"/>
      <c r="G109" s="61"/>
      <c r="H109" s="61"/>
      <c r="I109" s="502"/>
      <c r="J109" s="14"/>
      <c r="K109" s="650"/>
      <c r="L109" s="376"/>
      <c r="M109" s="26"/>
      <c r="N109" s="26"/>
      <c r="O109" s="296" t="s">
        <v>95</v>
      </c>
      <c r="P109" s="56"/>
      <c r="Q109" s="56"/>
      <c r="R109" s="297"/>
      <c r="S109" s="298"/>
      <c r="T109" s="299"/>
      <c r="U109" s="376"/>
      <c r="V109" s="384"/>
      <c r="W109" s="6"/>
      <c r="X109" s="470"/>
      <c r="Y109" s="470"/>
      <c r="Z109" s="470"/>
      <c r="AA109" s="470"/>
      <c r="AB109" s="470"/>
      <c r="AC109" s="470"/>
      <c r="AD109" s="470"/>
      <c r="AE109" s="470"/>
      <c r="AF109" s="470"/>
      <c r="AG109" s="470"/>
      <c r="AH109" s="470"/>
      <c r="AI109" s="470"/>
      <c r="AJ109" s="470"/>
      <c r="AK109" s="470"/>
      <c r="AL109" s="470"/>
      <c r="AM109" s="470"/>
      <c r="AN109" s="470"/>
      <c r="AO109" s="470"/>
      <c r="AP109" s="470"/>
      <c r="AQ109" s="470"/>
      <c r="AR109" s="470"/>
      <c r="AS109" s="470"/>
      <c r="AT109" s="470"/>
      <c r="AU109" s="470"/>
      <c r="AV109" s="470"/>
      <c r="AW109" s="470"/>
      <c r="AX109" s="470"/>
      <c r="AY109" s="470"/>
      <c r="AZ109" s="470"/>
      <c r="BA109" s="470"/>
      <c r="BB109" s="470"/>
      <c r="BC109" s="470"/>
      <c r="BD109" s="470"/>
      <c r="BE109" s="470"/>
      <c r="BF109" s="470"/>
      <c r="BG109" s="470"/>
      <c r="BH109" s="470"/>
      <c r="BI109" s="470"/>
      <c r="BJ109" s="470"/>
      <c r="BK109" s="798"/>
      <c r="BL109" s="884"/>
      <c r="BM109" s="884"/>
      <c r="BN109" s="884"/>
      <c r="BO109" s="884"/>
      <c r="BP109" s="884"/>
      <c r="BQ109" s="884"/>
      <c r="BR109" s="884"/>
      <c r="BS109" s="884"/>
      <c r="BT109" s="884"/>
      <c r="BU109" s="884"/>
      <c r="BV109" s="865"/>
      <c r="BW109" s="865"/>
      <c r="BX109" s="865"/>
      <c r="BY109" s="865"/>
      <c r="BZ109" s="865"/>
      <c r="CA109" s="865"/>
      <c r="CB109" s="865"/>
      <c r="CC109" s="865"/>
      <c r="CD109" s="865"/>
      <c r="CE109" s="606"/>
      <c r="CF109" s="606"/>
      <c r="CG109" s="606"/>
      <c r="CH109" s="606"/>
      <c r="CI109" s="606"/>
      <c r="CJ109" s="606"/>
      <c r="CK109" s="606"/>
      <c r="CL109" s="606"/>
      <c r="CM109" s="606"/>
      <c r="CN109" s="606"/>
      <c r="CO109" s="606"/>
      <c r="CP109" s="606"/>
      <c r="CQ109" s="606"/>
      <c r="CR109" s="606"/>
      <c r="CS109" s="606"/>
      <c r="CT109" s="606"/>
      <c r="CU109" s="606"/>
      <c r="CV109" s="606"/>
      <c r="CW109" s="606"/>
      <c r="CX109" s="606"/>
      <c r="CY109" s="606"/>
      <c r="CZ109" s="606"/>
      <c r="DA109" s="606"/>
      <c r="DB109" s="606"/>
      <c r="DC109" s="606"/>
      <c r="DD109" s="606"/>
      <c r="DE109" s="606"/>
      <c r="DF109" s="606"/>
      <c r="DG109" s="606"/>
      <c r="DH109" s="606"/>
      <c r="DI109" s="606"/>
      <c r="DJ109" s="606"/>
      <c r="DK109" s="606"/>
      <c r="DL109" s="606"/>
      <c r="DM109" s="606"/>
      <c r="DN109" s="606"/>
      <c r="DO109" s="606"/>
      <c r="DP109" s="606"/>
      <c r="DQ109" s="606"/>
      <c r="DR109" s="606"/>
      <c r="DS109" s="606"/>
      <c r="DT109" s="606"/>
      <c r="DU109" s="606"/>
      <c r="DV109" s="606"/>
      <c r="DW109" s="606"/>
      <c r="DX109" s="606"/>
    </row>
    <row r="110" spans="1:128" ht="15.75" customHeight="1" x14ac:dyDescent="0.25">
      <c r="A110" s="1"/>
      <c r="B110" s="501"/>
      <c r="C110" s="110"/>
      <c r="D110" s="110"/>
      <c r="E110" s="110"/>
      <c r="F110" s="110"/>
      <c r="G110" s="61"/>
      <c r="H110" s="61"/>
      <c r="I110" s="502"/>
      <c r="J110" s="14"/>
      <c r="K110" s="650"/>
      <c r="L110" s="376"/>
      <c r="M110" s="26"/>
      <c r="N110" s="26"/>
      <c r="O110" s="296" t="s">
        <v>222</v>
      </c>
      <c r="P110" s="56"/>
      <c r="Q110" s="56"/>
      <c r="R110" s="297"/>
      <c r="S110" s="298"/>
      <c r="T110" s="299"/>
      <c r="U110" s="376"/>
      <c r="V110" s="384"/>
      <c r="W110" s="6"/>
      <c r="X110" s="470"/>
      <c r="Y110" s="470"/>
      <c r="Z110" s="470"/>
      <c r="AA110" s="470"/>
      <c r="AB110" s="470"/>
      <c r="AC110" s="470"/>
      <c r="AD110" s="470"/>
      <c r="AE110" s="470"/>
      <c r="AF110" s="470"/>
      <c r="AG110" s="470"/>
      <c r="AH110" s="470"/>
      <c r="AI110" s="470"/>
      <c r="AJ110" s="470"/>
      <c r="AK110" s="470"/>
      <c r="AL110" s="470"/>
      <c r="AM110" s="470"/>
      <c r="AN110" s="470"/>
      <c r="AO110" s="470"/>
      <c r="AP110" s="470"/>
      <c r="AQ110" s="470"/>
      <c r="AR110" s="470"/>
      <c r="AS110" s="470"/>
      <c r="AT110" s="470"/>
      <c r="AU110" s="470"/>
      <c r="AV110" s="470"/>
      <c r="AW110" s="470"/>
      <c r="AX110" s="470"/>
      <c r="AY110" s="470"/>
      <c r="AZ110" s="470"/>
      <c r="BA110" s="470"/>
      <c r="BB110" s="470"/>
      <c r="BC110" s="470"/>
      <c r="BD110" s="470"/>
      <c r="BE110" s="470"/>
      <c r="BF110" s="470"/>
      <c r="BG110" s="470"/>
      <c r="BH110" s="470"/>
      <c r="BI110" s="470"/>
      <c r="BJ110" s="470"/>
      <c r="BK110" s="798"/>
      <c r="BL110" s="884" t="s">
        <v>62</v>
      </c>
      <c r="BM110" s="884"/>
      <c r="BN110" s="884"/>
      <c r="BO110" s="884"/>
      <c r="BP110" s="884"/>
      <c r="BQ110" s="884"/>
      <c r="BR110" s="884"/>
      <c r="BS110" s="884"/>
      <c r="BT110" s="884"/>
      <c r="BU110" s="884"/>
      <c r="BV110" s="865"/>
      <c r="BW110" s="865"/>
      <c r="BX110" s="865"/>
      <c r="BY110" s="865"/>
      <c r="BZ110" s="865"/>
      <c r="CA110" s="865"/>
      <c r="CB110" s="865"/>
      <c r="CC110" s="865"/>
      <c r="CD110" s="865"/>
      <c r="CE110" s="606"/>
      <c r="CF110" s="606"/>
      <c r="CG110" s="606"/>
      <c r="CH110" s="606"/>
      <c r="CI110" s="606"/>
      <c r="CJ110" s="606"/>
      <c r="CK110" s="606"/>
      <c r="CL110" s="606"/>
      <c r="CM110" s="606"/>
      <c r="CN110" s="606"/>
      <c r="CO110" s="606"/>
      <c r="CP110" s="606"/>
      <c r="CQ110" s="606"/>
      <c r="CR110" s="606"/>
      <c r="CS110" s="606"/>
      <c r="CT110" s="606"/>
      <c r="CU110" s="606"/>
      <c r="CV110" s="606"/>
      <c r="CW110" s="606"/>
      <c r="CX110" s="606"/>
      <c r="CY110" s="606"/>
      <c r="CZ110" s="606"/>
      <c r="DA110" s="606"/>
      <c r="DB110" s="606"/>
      <c r="DC110" s="606"/>
      <c r="DD110" s="606"/>
      <c r="DE110" s="606"/>
      <c r="DF110" s="606"/>
      <c r="DG110" s="606"/>
      <c r="DH110" s="606"/>
      <c r="DI110" s="606"/>
      <c r="DJ110" s="606"/>
      <c r="DK110" s="606"/>
      <c r="DL110" s="606"/>
      <c r="DM110" s="606"/>
      <c r="DN110" s="606"/>
      <c r="DO110" s="606"/>
      <c r="DP110" s="606"/>
      <c r="DQ110" s="606"/>
      <c r="DR110" s="606"/>
      <c r="DS110" s="606"/>
      <c r="DT110" s="606"/>
      <c r="DU110" s="606"/>
      <c r="DV110" s="606"/>
      <c r="DW110" s="606"/>
      <c r="DX110" s="606"/>
    </row>
    <row r="111" spans="1:128" ht="15.75" customHeight="1" x14ac:dyDescent="0.25">
      <c r="A111" s="1"/>
      <c r="B111" s="501"/>
      <c r="C111" s="110"/>
      <c r="D111" s="110"/>
      <c r="E111" s="110"/>
      <c r="F111" s="110"/>
      <c r="G111" s="61"/>
      <c r="H111" s="61"/>
      <c r="I111" s="502"/>
      <c r="J111" s="14"/>
      <c r="K111" s="650"/>
      <c r="L111" s="376"/>
      <c r="M111" s="376"/>
      <c r="N111" s="26"/>
      <c r="O111" s="296"/>
      <c r="P111" s="56"/>
      <c r="Q111" s="56"/>
      <c r="R111" s="297"/>
      <c r="S111" s="298"/>
      <c r="T111" s="299"/>
      <c r="U111" s="376"/>
      <c r="V111" s="384"/>
      <c r="W111" s="6"/>
      <c r="X111" s="470"/>
      <c r="Y111" s="470"/>
      <c r="Z111" s="470"/>
      <c r="AA111" s="470"/>
      <c r="AB111" s="470"/>
      <c r="AC111" s="470"/>
      <c r="AD111" s="470"/>
      <c r="AE111" s="470"/>
      <c r="AF111" s="470"/>
      <c r="AG111" s="470"/>
      <c r="AH111" s="470"/>
      <c r="AI111" s="470"/>
      <c r="AJ111" s="470"/>
      <c r="AK111" s="470"/>
      <c r="AL111" s="470"/>
      <c r="AM111" s="470"/>
      <c r="AN111" s="470"/>
      <c r="AO111" s="470"/>
      <c r="AP111" s="470"/>
      <c r="AQ111" s="470"/>
      <c r="AR111" s="470"/>
      <c r="AS111" s="470"/>
      <c r="AT111" s="470"/>
      <c r="AU111" s="470"/>
      <c r="AV111" s="470"/>
      <c r="AW111" s="470"/>
      <c r="AX111" s="470"/>
      <c r="AY111" s="470"/>
      <c r="AZ111" s="470"/>
      <c r="BA111" s="470"/>
      <c r="BB111" s="470"/>
      <c r="BC111" s="470"/>
      <c r="BD111" s="470"/>
      <c r="BE111" s="470"/>
      <c r="BF111" s="470"/>
      <c r="BG111" s="470"/>
      <c r="BH111" s="470"/>
      <c r="BI111" s="470"/>
      <c r="BJ111" s="470"/>
      <c r="BK111" s="798"/>
      <c r="BL111" s="884" t="s">
        <v>64</v>
      </c>
      <c r="BM111" s="884"/>
      <c r="BN111" s="884"/>
      <c r="BO111" s="884"/>
      <c r="BP111" s="884"/>
      <c r="BQ111" s="884"/>
      <c r="BR111" s="884"/>
      <c r="BS111" s="885"/>
      <c r="BT111" s="884"/>
      <c r="BU111" s="884"/>
      <c r="BV111" s="865"/>
      <c r="BW111" s="865"/>
      <c r="BX111" s="865"/>
      <c r="BY111" s="865"/>
      <c r="BZ111" s="865"/>
      <c r="CA111" s="865"/>
      <c r="CB111" s="865"/>
      <c r="CC111" s="865"/>
      <c r="CD111" s="865"/>
      <c r="CE111" s="606"/>
      <c r="CF111" s="606"/>
      <c r="CG111" s="606"/>
      <c r="CH111" s="606"/>
      <c r="CI111" s="606"/>
      <c r="CJ111" s="606"/>
      <c r="CK111" s="606"/>
      <c r="CL111" s="606"/>
      <c r="CM111" s="606"/>
      <c r="CN111" s="606"/>
      <c r="CO111" s="606"/>
      <c r="CP111" s="606"/>
      <c r="CQ111" s="606"/>
      <c r="CR111" s="606"/>
      <c r="CS111" s="606"/>
      <c r="CT111" s="606"/>
      <c r="CU111" s="606"/>
      <c r="CV111" s="606"/>
      <c r="CW111" s="606"/>
      <c r="CX111" s="606"/>
      <c r="CY111" s="606"/>
      <c r="CZ111" s="606"/>
      <c r="DA111" s="606"/>
      <c r="DB111" s="606"/>
      <c r="DC111" s="606"/>
      <c r="DD111" s="606"/>
      <c r="DE111" s="606"/>
      <c r="DF111" s="606"/>
      <c r="DG111" s="606"/>
      <c r="DH111" s="606"/>
      <c r="DI111" s="606"/>
      <c r="DJ111" s="606"/>
      <c r="DK111" s="606"/>
      <c r="DL111" s="606"/>
      <c r="DM111" s="606"/>
      <c r="DN111" s="606"/>
      <c r="DO111" s="606"/>
      <c r="DP111" s="606"/>
      <c r="DQ111" s="606"/>
      <c r="DR111" s="606"/>
      <c r="DS111" s="606"/>
      <c r="DT111" s="606"/>
      <c r="DU111" s="606"/>
      <c r="DV111" s="606"/>
      <c r="DW111" s="606"/>
      <c r="DX111" s="606"/>
    </row>
    <row r="112" spans="1:128" ht="15.75" customHeight="1" thickBot="1" x14ac:dyDescent="0.3">
      <c r="A112" s="1"/>
      <c r="B112" s="501"/>
      <c r="C112" s="110"/>
      <c r="D112" s="110"/>
      <c r="E112" s="110"/>
      <c r="F112" s="110"/>
      <c r="G112" s="61"/>
      <c r="H112" s="61"/>
      <c r="I112" s="502"/>
      <c r="J112" s="14"/>
      <c r="K112" s="650"/>
      <c r="L112" s="376"/>
      <c r="M112" s="376"/>
      <c r="N112" s="645"/>
      <c r="O112" s="26" t="s">
        <v>415</v>
      </c>
      <c r="P112" s="56"/>
      <c r="Q112" s="56"/>
      <c r="R112" s="56"/>
      <c r="S112" s="297"/>
      <c r="T112" s="645"/>
      <c r="U112" s="486"/>
      <c r="V112" s="384"/>
      <c r="W112" s="6"/>
      <c r="X112" s="470"/>
      <c r="Y112" s="470"/>
      <c r="Z112" s="470"/>
      <c r="AA112" s="470"/>
      <c r="AB112" s="470"/>
      <c r="AC112" s="470"/>
      <c r="AD112" s="470"/>
      <c r="AE112" s="470"/>
      <c r="AF112" s="470"/>
      <c r="AG112" s="470"/>
      <c r="AH112" s="470"/>
      <c r="AI112" s="470"/>
      <c r="AJ112" s="470"/>
      <c r="AK112" s="470"/>
      <c r="AL112" s="470"/>
      <c r="AM112" s="470"/>
      <c r="AN112" s="470"/>
      <c r="AO112" s="470"/>
      <c r="AP112" s="470"/>
      <c r="AQ112" s="470"/>
      <c r="AR112" s="470"/>
      <c r="AS112" s="470"/>
      <c r="AT112" s="470"/>
      <c r="AU112" s="470"/>
      <c r="AV112" s="470"/>
      <c r="AW112" s="470"/>
      <c r="AX112" s="470"/>
      <c r="AY112" s="470"/>
      <c r="AZ112" s="470"/>
      <c r="BA112" s="470"/>
      <c r="BB112" s="470"/>
      <c r="BC112" s="470"/>
      <c r="BD112" s="470"/>
      <c r="BE112" s="470"/>
      <c r="BF112" s="470"/>
      <c r="BG112" s="470"/>
      <c r="BH112" s="470"/>
      <c r="BI112" s="470"/>
      <c r="BJ112" s="470"/>
      <c r="BK112" s="798"/>
      <c r="BL112" s="884"/>
      <c r="BM112" s="884"/>
      <c r="BN112" s="884"/>
      <c r="BO112" s="884"/>
      <c r="BP112" s="884"/>
      <c r="BQ112" s="885"/>
      <c r="BR112" s="885"/>
      <c r="BS112" s="885"/>
      <c r="BT112" s="884"/>
      <c r="BU112" s="884"/>
      <c r="BV112" s="865"/>
      <c r="BW112" s="865"/>
      <c r="BX112" s="865"/>
      <c r="BY112" s="865"/>
      <c r="BZ112" s="865"/>
      <c r="CA112" s="865"/>
      <c r="CB112" s="865"/>
      <c r="CC112" s="865"/>
      <c r="CD112" s="865"/>
      <c r="CE112" s="606"/>
      <c r="CF112" s="606"/>
      <c r="CG112" s="606"/>
      <c r="CH112" s="606"/>
      <c r="CI112" s="606"/>
      <c r="CJ112" s="606"/>
      <c r="CK112" s="606"/>
      <c r="CL112" s="606"/>
      <c r="CM112" s="606"/>
      <c r="CN112" s="606"/>
      <c r="CO112" s="606"/>
      <c r="CP112" s="606"/>
      <c r="CQ112" s="606"/>
      <c r="CR112" s="606"/>
      <c r="CS112" s="606"/>
      <c r="CT112" s="606"/>
      <c r="CU112" s="606"/>
      <c r="CV112" s="606"/>
      <c r="CW112" s="606"/>
      <c r="CX112" s="606"/>
      <c r="CY112" s="606"/>
      <c r="CZ112" s="606"/>
      <c r="DA112" s="606"/>
      <c r="DB112" s="606"/>
      <c r="DC112" s="606"/>
      <c r="DD112" s="606"/>
      <c r="DE112" s="606"/>
      <c r="DF112" s="606"/>
      <c r="DG112" s="606"/>
      <c r="DH112" s="606"/>
      <c r="DI112" s="606"/>
      <c r="DJ112" s="606"/>
      <c r="DK112" s="606"/>
      <c r="DL112" s="606"/>
      <c r="DM112" s="606"/>
      <c r="DN112" s="606"/>
      <c r="DO112" s="606"/>
      <c r="DP112" s="606"/>
      <c r="DQ112" s="606"/>
      <c r="DR112" s="606"/>
      <c r="DS112" s="606"/>
      <c r="DT112" s="606"/>
      <c r="DU112" s="606"/>
      <c r="DV112" s="606"/>
      <c r="DW112" s="606"/>
      <c r="DX112" s="606"/>
    </row>
    <row r="113" spans="1:128" ht="15.75" customHeight="1" thickBot="1" x14ac:dyDescent="0.3">
      <c r="A113" s="1"/>
      <c r="B113" s="501"/>
      <c r="C113" s="110"/>
      <c r="D113" s="110"/>
      <c r="E113" s="110"/>
      <c r="F113" s="110"/>
      <c r="G113" s="61"/>
      <c r="H113" s="61"/>
      <c r="I113" s="502"/>
      <c r="J113" s="14"/>
      <c r="K113" s="650"/>
      <c r="L113" s="376"/>
      <c r="M113" s="376"/>
      <c r="N113" s="645"/>
      <c r="O113" s="26" t="s">
        <v>412</v>
      </c>
      <c r="P113" s="56"/>
      <c r="Q113" s="56"/>
      <c r="R113" s="56"/>
      <c r="S113" s="297"/>
      <c r="T113" s="300" t="s">
        <v>55</v>
      </c>
      <c r="U113" s="505" t="s">
        <v>62</v>
      </c>
      <c r="V113" s="384"/>
      <c r="W113" s="6"/>
      <c r="X113" s="470"/>
      <c r="Y113" s="470"/>
      <c r="Z113" s="470"/>
      <c r="AA113" s="470"/>
      <c r="AB113" s="470"/>
      <c r="AC113" s="470"/>
      <c r="AD113" s="470"/>
      <c r="AE113" s="470"/>
      <c r="AF113" s="470"/>
      <c r="AG113" s="470"/>
      <c r="AH113" s="470"/>
      <c r="AI113" s="470"/>
      <c r="AJ113" s="470"/>
      <c r="AK113" s="470"/>
      <c r="AL113" s="470"/>
      <c r="AM113" s="470"/>
      <c r="AN113" s="470"/>
      <c r="AO113" s="470"/>
      <c r="AP113" s="470"/>
      <c r="AQ113" s="470"/>
      <c r="AR113" s="470"/>
      <c r="AS113" s="470"/>
      <c r="AT113" s="470"/>
      <c r="AU113" s="470"/>
      <c r="AV113" s="470"/>
      <c r="AW113" s="470"/>
      <c r="AX113" s="470"/>
      <c r="AY113" s="470"/>
      <c r="AZ113" s="470"/>
      <c r="BA113" s="470"/>
      <c r="BB113" s="470"/>
      <c r="BC113" s="470"/>
      <c r="BD113" s="470"/>
      <c r="BE113" s="470"/>
      <c r="BF113" s="470"/>
      <c r="BG113" s="470"/>
      <c r="BH113" s="470"/>
      <c r="BI113" s="470"/>
      <c r="BJ113" s="470"/>
      <c r="BK113" s="798"/>
      <c r="BL113" s="884"/>
      <c r="BM113" s="884"/>
      <c r="BN113" s="884"/>
      <c r="BO113" s="884"/>
      <c r="BP113" s="884"/>
      <c r="BQ113" s="885"/>
      <c r="BR113" s="885"/>
      <c r="BS113" s="885"/>
      <c r="BT113" s="884"/>
      <c r="BU113" s="884"/>
      <c r="BV113" s="865"/>
      <c r="BW113" s="865"/>
      <c r="BX113" s="865"/>
      <c r="BY113" s="865"/>
      <c r="BZ113" s="865"/>
      <c r="CA113" s="865"/>
      <c r="CB113" s="865"/>
      <c r="CC113" s="865"/>
      <c r="CD113" s="865"/>
      <c r="CE113" s="606"/>
      <c r="CF113" s="606"/>
      <c r="CG113" s="606"/>
      <c r="CH113" s="606"/>
      <c r="CI113" s="606"/>
      <c r="CJ113" s="606"/>
      <c r="CK113" s="606"/>
      <c r="CL113" s="606"/>
      <c r="CM113" s="606"/>
      <c r="CN113" s="606"/>
      <c r="CO113" s="606"/>
      <c r="CP113" s="606"/>
      <c r="CQ113" s="606"/>
      <c r="CR113" s="606"/>
      <c r="CS113" s="606"/>
      <c r="CT113" s="606"/>
      <c r="CU113" s="606"/>
      <c r="CV113" s="606"/>
      <c r="CW113" s="606"/>
      <c r="CX113" s="606"/>
      <c r="CY113" s="606"/>
      <c r="CZ113" s="606"/>
      <c r="DA113" s="606"/>
      <c r="DB113" s="606"/>
      <c r="DC113" s="606"/>
      <c r="DD113" s="606"/>
      <c r="DE113" s="606"/>
      <c r="DF113" s="606"/>
      <c r="DG113" s="606"/>
      <c r="DH113" s="606"/>
      <c r="DI113" s="606"/>
      <c r="DJ113" s="606"/>
      <c r="DK113" s="606"/>
      <c r="DL113" s="606"/>
      <c r="DM113" s="606"/>
      <c r="DN113" s="606"/>
      <c r="DO113" s="606"/>
      <c r="DP113" s="606"/>
      <c r="DQ113" s="606"/>
      <c r="DR113" s="606"/>
      <c r="DS113" s="606"/>
      <c r="DT113" s="606"/>
      <c r="DU113" s="606"/>
      <c r="DV113" s="606"/>
      <c r="DW113" s="606"/>
      <c r="DX113" s="606"/>
    </row>
    <row r="114" spans="1:128" ht="15.75" customHeight="1" thickBot="1" x14ac:dyDescent="0.3">
      <c r="A114" s="1"/>
      <c r="B114" s="45"/>
      <c r="C114" s="679"/>
      <c r="D114" s="85"/>
      <c r="E114" s="85"/>
      <c r="F114" s="85"/>
      <c r="G114" s="85"/>
      <c r="H114" s="84"/>
      <c r="I114" s="86"/>
      <c r="J114" s="14"/>
      <c r="K114" s="659"/>
      <c r="L114" s="389"/>
      <c r="M114" s="389"/>
      <c r="N114" s="335"/>
      <c r="O114" s="334"/>
      <c r="P114" s="334"/>
      <c r="Q114" s="334"/>
      <c r="R114" s="461"/>
      <c r="S114" s="462"/>
      <c r="T114" s="463"/>
      <c r="U114" s="389"/>
      <c r="V114" s="385"/>
      <c r="W114" s="6"/>
      <c r="X114" s="470"/>
      <c r="Y114" s="470"/>
      <c r="Z114" s="470"/>
      <c r="AA114" s="470"/>
      <c r="AB114" s="470"/>
      <c r="AC114" s="470"/>
      <c r="AD114" s="470"/>
      <c r="AE114" s="470"/>
      <c r="AF114" s="470"/>
      <c r="AG114" s="470"/>
      <c r="AH114" s="470"/>
      <c r="AI114" s="470"/>
      <c r="AJ114" s="470"/>
      <c r="AK114" s="470"/>
      <c r="AL114" s="470"/>
      <c r="AM114" s="470"/>
      <c r="AN114" s="470"/>
      <c r="AO114" s="470"/>
      <c r="AP114" s="470"/>
      <c r="AQ114" s="470"/>
      <c r="AR114" s="470"/>
      <c r="AS114" s="470"/>
      <c r="AT114" s="470"/>
      <c r="AU114" s="470"/>
      <c r="AV114" s="470"/>
      <c r="AW114" s="470"/>
      <c r="AX114" s="470"/>
      <c r="AY114" s="470"/>
      <c r="AZ114" s="470"/>
      <c r="BA114" s="470"/>
      <c r="BB114" s="470"/>
      <c r="BC114" s="470"/>
      <c r="BD114" s="470"/>
      <c r="BE114" s="470"/>
      <c r="BF114" s="470"/>
      <c r="BG114" s="470"/>
      <c r="BH114" s="470"/>
      <c r="BI114" s="470"/>
      <c r="BJ114" s="470"/>
      <c r="BK114" s="798"/>
      <c r="BL114" s="884"/>
      <c r="BM114" s="884"/>
      <c r="BN114" s="884"/>
      <c r="BO114" s="884"/>
      <c r="BP114" s="884"/>
      <c r="BQ114" s="885"/>
      <c r="BR114" s="885"/>
      <c r="BS114" s="885"/>
      <c r="BT114" s="885"/>
      <c r="BU114" s="885"/>
      <c r="BV114" s="865"/>
      <c r="BW114" s="865"/>
      <c r="BX114" s="865"/>
      <c r="BY114" s="865"/>
      <c r="BZ114" s="865"/>
      <c r="CA114" s="865"/>
      <c r="CB114" s="865"/>
      <c r="CC114" s="865"/>
      <c r="CD114" s="865"/>
      <c r="CE114" s="606"/>
      <c r="CF114" s="606"/>
      <c r="CG114" s="606"/>
      <c r="CH114" s="606"/>
      <c r="CI114" s="606"/>
      <c r="CJ114" s="606"/>
      <c r="CK114" s="606"/>
      <c r="CL114" s="606"/>
      <c r="CM114" s="606"/>
      <c r="CN114" s="606"/>
      <c r="CO114" s="606"/>
      <c r="CP114" s="606"/>
      <c r="CQ114" s="606"/>
      <c r="CR114" s="606"/>
      <c r="CS114" s="606"/>
      <c r="CT114" s="606"/>
      <c r="CU114" s="606"/>
      <c r="CV114" s="606"/>
      <c r="CW114" s="606"/>
      <c r="CX114" s="606"/>
      <c r="CY114" s="606"/>
      <c r="CZ114" s="606"/>
      <c r="DA114" s="606"/>
      <c r="DB114" s="606"/>
      <c r="DC114" s="606"/>
      <c r="DD114" s="606"/>
      <c r="DE114" s="606"/>
      <c r="DF114" s="606"/>
      <c r="DG114" s="606"/>
      <c r="DH114" s="606"/>
      <c r="DI114" s="606"/>
      <c r="DJ114" s="606"/>
      <c r="DK114" s="606"/>
      <c r="DL114" s="606"/>
      <c r="DM114" s="606"/>
      <c r="DN114" s="606"/>
      <c r="DO114" s="606"/>
      <c r="DP114" s="606"/>
      <c r="DQ114" s="606"/>
      <c r="DR114" s="606"/>
      <c r="DS114" s="606"/>
      <c r="DT114" s="606"/>
      <c r="DU114" s="606"/>
      <c r="DV114" s="606"/>
      <c r="DW114" s="606"/>
      <c r="DX114" s="606"/>
    </row>
    <row r="115" spans="1:128" ht="15.75" customHeight="1" thickBot="1" x14ac:dyDescent="0.3">
      <c r="A115" s="1"/>
      <c r="B115" s="6"/>
      <c r="C115" s="623"/>
      <c r="D115" s="6"/>
      <c r="E115" s="6"/>
      <c r="F115" s="6"/>
      <c r="G115" s="6"/>
      <c r="H115" s="6"/>
      <c r="I115" s="6"/>
      <c r="J115" s="14"/>
      <c r="K115" s="34"/>
      <c r="L115" s="622"/>
      <c r="M115" s="2"/>
      <c r="N115" s="1"/>
      <c r="O115" s="1"/>
      <c r="P115" s="1"/>
      <c r="Q115" s="1"/>
      <c r="R115" s="1"/>
      <c r="S115" s="2"/>
      <c r="T115" s="1"/>
      <c r="U115" s="1"/>
      <c r="V115" s="1"/>
      <c r="W115" s="6"/>
      <c r="X115" s="470"/>
      <c r="Y115" s="470"/>
      <c r="Z115" s="470"/>
      <c r="AA115" s="470"/>
      <c r="AB115" s="470"/>
      <c r="AC115" s="470"/>
      <c r="AD115" s="470"/>
      <c r="AE115" s="470"/>
      <c r="AF115" s="470"/>
      <c r="AG115" s="470"/>
      <c r="AH115" s="470"/>
      <c r="AI115" s="470"/>
      <c r="AJ115" s="470"/>
      <c r="AK115" s="470"/>
      <c r="AL115" s="470"/>
      <c r="AM115" s="470"/>
      <c r="AN115" s="470"/>
      <c r="AO115" s="470"/>
      <c r="AP115" s="470"/>
      <c r="AQ115" s="470"/>
      <c r="AR115" s="470"/>
      <c r="AS115" s="470"/>
      <c r="AT115" s="470"/>
      <c r="AU115" s="470"/>
      <c r="AV115" s="470"/>
      <c r="AW115" s="470"/>
      <c r="AX115" s="470"/>
      <c r="AY115" s="470"/>
      <c r="AZ115" s="470"/>
      <c r="BA115" s="470"/>
      <c r="BB115" s="470"/>
      <c r="BC115" s="470"/>
      <c r="BD115" s="470"/>
      <c r="BE115" s="470"/>
      <c r="BF115" s="470"/>
      <c r="BG115" s="470"/>
      <c r="BH115" s="470"/>
      <c r="BI115" s="470"/>
      <c r="BJ115" s="470"/>
      <c r="BK115" s="798"/>
      <c r="BL115" s="856"/>
      <c r="BM115" s="856"/>
      <c r="BN115" s="936"/>
      <c r="BO115" s="936"/>
      <c r="BP115" s="884"/>
      <c r="BQ115" s="885"/>
      <c r="BR115" s="885"/>
      <c r="BS115" s="856"/>
      <c r="BT115" s="900"/>
      <c r="BU115" s="900"/>
      <c r="BV115" s="840"/>
      <c r="BW115" s="840"/>
      <c r="BX115" s="840"/>
      <c r="BY115" s="840"/>
      <c r="BZ115" s="865"/>
      <c r="CA115" s="865"/>
      <c r="CB115" s="865"/>
      <c r="CC115" s="865"/>
      <c r="CD115" s="865"/>
      <c r="CE115" s="606"/>
      <c r="CF115" s="606"/>
      <c r="CG115" s="606"/>
      <c r="CH115" s="606"/>
      <c r="CI115" s="606"/>
      <c r="CJ115" s="606"/>
      <c r="CK115" s="606"/>
      <c r="CL115" s="606"/>
      <c r="CM115" s="606"/>
      <c r="CN115" s="606"/>
      <c r="CO115" s="606"/>
      <c r="CP115" s="606"/>
      <c r="CQ115" s="606"/>
      <c r="CR115" s="606"/>
      <c r="CS115" s="606"/>
      <c r="CT115" s="606"/>
      <c r="CU115" s="606"/>
      <c r="CV115" s="606"/>
      <c r="CW115" s="606"/>
      <c r="CX115" s="606"/>
      <c r="CY115" s="606"/>
      <c r="CZ115" s="606"/>
      <c r="DA115" s="606"/>
      <c r="DB115" s="606"/>
      <c r="DC115" s="606"/>
      <c r="DD115" s="606"/>
      <c r="DE115" s="606"/>
      <c r="DF115" s="606"/>
      <c r="DG115" s="606"/>
      <c r="DH115" s="606"/>
      <c r="DI115" s="606"/>
      <c r="DJ115" s="606"/>
      <c r="DK115" s="606"/>
      <c r="DL115" s="606"/>
      <c r="DM115" s="606"/>
      <c r="DN115" s="606"/>
      <c r="DO115" s="606"/>
      <c r="DP115" s="606"/>
      <c r="DQ115" s="606"/>
      <c r="DR115" s="606"/>
      <c r="DS115" s="606"/>
      <c r="DT115" s="606"/>
      <c r="DU115" s="606"/>
      <c r="DV115" s="606"/>
      <c r="DW115" s="606"/>
      <c r="DX115" s="606"/>
    </row>
    <row r="116" spans="1:128" ht="15.75" customHeight="1" x14ac:dyDescent="0.25">
      <c r="A116" s="1"/>
      <c r="B116" s="9"/>
      <c r="C116" s="674"/>
      <c r="D116" s="11"/>
      <c r="E116" s="11"/>
      <c r="F116" s="11"/>
      <c r="G116" s="11"/>
      <c r="H116" s="11"/>
      <c r="I116" s="98"/>
      <c r="J116" s="14"/>
      <c r="K116" s="660"/>
      <c r="L116" s="624"/>
      <c r="M116" s="364"/>
      <c r="N116" s="365"/>
      <c r="O116" s="365"/>
      <c r="P116" s="365"/>
      <c r="Q116" s="365"/>
      <c r="R116" s="365"/>
      <c r="S116" s="364"/>
      <c r="T116" s="365"/>
      <c r="U116" s="365"/>
      <c r="V116" s="366"/>
      <c r="W116" s="6"/>
      <c r="X116" s="470"/>
      <c r="Y116" s="470"/>
      <c r="Z116" s="470"/>
      <c r="AA116" s="470"/>
      <c r="AB116" s="470"/>
      <c r="AC116" s="470"/>
      <c r="AD116" s="470"/>
      <c r="AE116" s="470"/>
      <c r="AF116" s="470"/>
      <c r="AG116" s="470"/>
      <c r="AH116" s="470"/>
      <c r="AI116" s="470"/>
      <c r="AJ116" s="470"/>
      <c r="AK116" s="470"/>
      <c r="AL116" s="470"/>
      <c r="AM116" s="470"/>
      <c r="AN116" s="470"/>
      <c r="AO116" s="470"/>
      <c r="AP116" s="470"/>
      <c r="AQ116" s="470"/>
      <c r="AR116" s="470"/>
      <c r="AS116" s="470"/>
      <c r="AT116" s="470"/>
      <c r="AU116" s="470"/>
      <c r="AV116" s="470"/>
      <c r="AW116" s="470"/>
      <c r="AX116" s="470"/>
      <c r="AY116" s="470"/>
      <c r="AZ116" s="470"/>
      <c r="BA116" s="470"/>
      <c r="BB116" s="470"/>
      <c r="BC116" s="470"/>
      <c r="BD116" s="470"/>
      <c r="BE116" s="470"/>
      <c r="BF116" s="470"/>
      <c r="BG116" s="470"/>
      <c r="BH116" s="470"/>
      <c r="BI116" s="470"/>
      <c r="BJ116" s="470"/>
      <c r="BK116" s="798"/>
      <c r="BL116" s="856"/>
      <c r="BM116" s="856"/>
      <c r="BN116" s="875"/>
      <c r="BO116" s="874"/>
      <c r="BP116" s="936"/>
      <c r="BQ116" s="856"/>
      <c r="BR116" s="856"/>
      <c r="BS116" s="856"/>
      <c r="BT116" s="900"/>
      <c r="BU116" s="900"/>
      <c r="BV116" s="840"/>
      <c r="BW116" s="840"/>
      <c r="BX116" s="840"/>
      <c r="BY116" s="840"/>
      <c r="BZ116" s="865"/>
      <c r="CA116" s="865"/>
      <c r="CB116" s="865"/>
      <c r="CC116" s="865"/>
      <c r="CD116" s="865"/>
      <c r="CE116" s="606"/>
      <c r="CF116" s="606"/>
      <c r="CG116" s="606"/>
      <c r="CH116" s="606"/>
      <c r="CI116" s="606"/>
      <c r="CJ116" s="606"/>
      <c r="CK116" s="606"/>
      <c r="CL116" s="606"/>
      <c r="CM116" s="606"/>
      <c r="CN116" s="606"/>
      <c r="CO116" s="606"/>
      <c r="CP116" s="606"/>
      <c r="CQ116" s="606"/>
      <c r="CR116" s="606"/>
      <c r="CS116" s="606"/>
      <c r="CT116" s="606"/>
      <c r="CU116" s="606"/>
      <c r="CV116" s="606"/>
      <c r="CW116" s="606"/>
      <c r="CX116" s="606"/>
      <c r="CY116" s="606"/>
      <c r="CZ116" s="606"/>
      <c r="DA116" s="606"/>
      <c r="DB116" s="606"/>
      <c r="DC116" s="606"/>
      <c r="DD116" s="606"/>
      <c r="DE116" s="606"/>
      <c r="DF116" s="606"/>
      <c r="DG116" s="606"/>
      <c r="DH116" s="606"/>
      <c r="DI116" s="606"/>
      <c r="DJ116" s="606"/>
      <c r="DK116" s="606"/>
      <c r="DL116" s="606"/>
      <c r="DM116" s="606"/>
      <c r="DN116" s="606"/>
      <c r="DO116" s="606"/>
      <c r="DP116" s="606"/>
      <c r="DQ116" s="606"/>
      <c r="DR116" s="606"/>
      <c r="DS116" s="606"/>
      <c r="DT116" s="606"/>
      <c r="DU116" s="606"/>
      <c r="DV116" s="606"/>
      <c r="DW116" s="606"/>
      <c r="DX116" s="606"/>
    </row>
    <row r="117" spans="1:128" ht="15.75" customHeight="1" x14ac:dyDescent="0.3">
      <c r="A117" s="1"/>
      <c r="B117" s="15"/>
      <c r="C117" s="974" t="s">
        <v>99</v>
      </c>
      <c r="D117" s="974"/>
      <c r="E117" s="17"/>
      <c r="F117" s="17"/>
      <c r="G117" s="51"/>
      <c r="H117" s="51"/>
      <c r="I117" s="53"/>
      <c r="J117" s="14"/>
      <c r="K117" s="650"/>
      <c r="L117" s="376"/>
      <c r="M117" s="386" t="s">
        <v>100</v>
      </c>
      <c r="N117" s="387"/>
      <c r="O117" s="387"/>
      <c r="P117" s="667" t="str">
        <f>IF($U$46&gt;12000.001,"Esta unidade não suporta vazão de acima de 12000l/dia"," ")</f>
        <v xml:space="preserve"> </v>
      </c>
      <c r="Q117" s="56"/>
      <c r="R117" s="56"/>
      <c r="S117" s="26"/>
      <c r="T117" s="56"/>
      <c r="U117" s="56"/>
      <c r="V117" s="315"/>
      <c r="W117" s="6"/>
      <c r="X117" s="470"/>
      <c r="Y117" s="470"/>
      <c r="Z117" s="470"/>
      <c r="AA117" s="470"/>
      <c r="AB117" s="470"/>
      <c r="AC117" s="470"/>
      <c r="AD117" s="470"/>
      <c r="AE117" s="470"/>
      <c r="AF117" s="470"/>
      <c r="AG117" s="470"/>
      <c r="AH117" s="470"/>
      <c r="AI117" s="470"/>
      <c r="AJ117" s="470"/>
      <c r="AK117" s="470"/>
      <c r="AL117" s="470"/>
      <c r="AM117" s="470"/>
      <c r="AN117" s="470"/>
      <c r="AO117" s="470"/>
      <c r="AP117" s="470"/>
      <c r="AQ117" s="470"/>
      <c r="AR117" s="470"/>
      <c r="AS117" s="470"/>
      <c r="AT117" s="470"/>
      <c r="AU117" s="470"/>
      <c r="AV117" s="470"/>
      <c r="AW117" s="470"/>
      <c r="AX117" s="470"/>
      <c r="AY117" s="470"/>
      <c r="AZ117" s="470"/>
      <c r="BA117" s="470"/>
      <c r="BB117" s="470"/>
      <c r="BC117" s="470"/>
      <c r="BD117" s="470"/>
      <c r="BE117" s="470"/>
      <c r="BF117" s="470"/>
      <c r="BG117" s="470"/>
      <c r="BH117" s="470"/>
      <c r="BI117" s="470"/>
      <c r="BJ117" s="470"/>
      <c r="BK117" s="798"/>
      <c r="BL117" s="875"/>
      <c r="BM117" s="896"/>
      <c r="BN117" s="925"/>
      <c r="BO117" s="925"/>
      <c r="BP117" s="856"/>
      <c r="BQ117" s="860"/>
      <c r="BR117" s="856"/>
      <c r="BS117" s="925"/>
      <c r="BT117" s="856"/>
      <c r="BU117" s="856"/>
      <c r="BV117" s="937"/>
      <c r="BW117" s="840"/>
      <c r="BX117" s="840"/>
      <c r="BY117" s="840"/>
      <c r="BZ117" s="865"/>
      <c r="CA117" s="865"/>
      <c r="CB117" s="865"/>
      <c r="CC117" s="865"/>
      <c r="CD117" s="865"/>
      <c r="CE117" s="606"/>
      <c r="CF117" s="606"/>
      <c r="CG117" s="606"/>
      <c r="CH117" s="606"/>
      <c r="CI117" s="606"/>
      <c r="CJ117" s="606"/>
      <c r="CK117" s="606"/>
      <c r="CL117" s="606"/>
      <c r="CM117" s="606"/>
      <c r="CN117" s="606"/>
      <c r="CO117" s="606"/>
      <c r="CP117" s="606"/>
      <c r="CQ117" s="606"/>
      <c r="CR117" s="606"/>
      <c r="CS117" s="606"/>
      <c r="CT117" s="606"/>
      <c r="CU117" s="606"/>
      <c r="CV117" s="606"/>
      <c r="CW117" s="606"/>
      <c r="CX117" s="606"/>
      <c r="CY117" s="606"/>
      <c r="CZ117" s="606"/>
      <c r="DA117" s="606"/>
      <c r="DB117" s="606"/>
      <c r="DC117" s="606"/>
      <c r="DD117" s="606"/>
      <c r="DE117" s="606"/>
      <c r="DF117" s="606"/>
      <c r="DG117" s="606"/>
      <c r="DH117" s="606"/>
      <c r="DI117" s="606"/>
      <c r="DJ117" s="606"/>
      <c r="DK117" s="606"/>
      <c r="DL117" s="606"/>
      <c r="DM117" s="606"/>
      <c r="DN117" s="606"/>
      <c r="DO117" s="606"/>
      <c r="DP117" s="606"/>
      <c r="DQ117" s="606"/>
      <c r="DR117" s="606"/>
      <c r="DS117" s="606"/>
      <c r="DT117" s="606"/>
      <c r="DU117" s="606"/>
      <c r="DV117" s="606"/>
      <c r="DW117" s="606"/>
      <c r="DX117" s="606"/>
    </row>
    <row r="118" spans="1:128" ht="15.75" customHeight="1" thickBot="1" x14ac:dyDescent="0.3">
      <c r="A118" s="1"/>
      <c r="B118" s="15"/>
      <c r="C118" s="514"/>
      <c r="D118" s="52"/>
      <c r="E118" s="17"/>
      <c r="F118" s="17"/>
      <c r="G118" s="51"/>
      <c r="H118" s="52"/>
      <c r="I118" s="53"/>
      <c r="J118" s="14"/>
      <c r="K118" s="325"/>
      <c r="L118" s="376"/>
      <c r="M118" s="388"/>
      <c r="N118" s="388"/>
      <c r="O118" s="56"/>
      <c r="P118" s="56"/>
      <c r="Q118" s="56"/>
      <c r="R118" s="374"/>
      <c r="S118" s="26"/>
      <c r="T118" s="56"/>
      <c r="U118" s="56"/>
      <c r="V118" s="315"/>
      <c r="W118" s="6"/>
      <c r="X118" s="470"/>
      <c r="Y118" s="470"/>
      <c r="Z118" s="470"/>
      <c r="AA118" s="470"/>
      <c r="AB118" s="470"/>
      <c r="AC118" s="470"/>
      <c r="AD118" s="470"/>
      <c r="AE118" s="470"/>
      <c r="AF118" s="470"/>
      <c r="AG118" s="470"/>
      <c r="AH118" s="470"/>
      <c r="AI118" s="470"/>
      <c r="AJ118" s="470"/>
      <c r="AK118" s="470"/>
      <c r="AL118" s="470"/>
      <c r="AM118" s="470"/>
      <c r="AN118" s="470"/>
      <c r="AO118" s="470"/>
      <c r="AP118" s="470"/>
      <c r="AQ118" s="470"/>
      <c r="AR118" s="470"/>
      <c r="AS118" s="470"/>
      <c r="AT118" s="470"/>
      <c r="AU118" s="470"/>
      <c r="AV118" s="470"/>
      <c r="AW118" s="470"/>
      <c r="AX118" s="470"/>
      <c r="AY118" s="470"/>
      <c r="AZ118" s="470"/>
      <c r="BA118" s="470"/>
      <c r="BB118" s="470"/>
      <c r="BC118" s="470"/>
      <c r="BD118" s="470"/>
      <c r="BE118" s="470"/>
      <c r="BF118" s="470"/>
      <c r="BG118" s="470"/>
      <c r="BH118" s="470"/>
      <c r="BI118" s="470"/>
      <c r="BJ118" s="470"/>
      <c r="BK118" s="798"/>
      <c r="BL118" s="875"/>
      <c r="BM118" s="926"/>
      <c r="BN118" s="925"/>
      <c r="BO118" s="925"/>
      <c r="BP118" s="925"/>
      <c r="BQ118" s="925"/>
      <c r="BR118" s="925"/>
      <c r="BS118" s="929"/>
      <c r="BT118" s="856"/>
      <c r="BU118" s="856"/>
      <c r="BV118" s="937"/>
      <c r="BW118" s="930"/>
      <c r="BX118" s="930"/>
      <c r="BY118" s="930"/>
      <c r="BZ118" s="865"/>
      <c r="CA118" s="865"/>
      <c r="CB118" s="865"/>
      <c r="CC118" s="865"/>
      <c r="CD118" s="865"/>
      <c r="CE118" s="606"/>
      <c r="CF118" s="606"/>
      <c r="CG118" s="606"/>
      <c r="CH118" s="606"/>
      <c r="CI118" s="606"/>
      <c r="CJ118" s="606"/>
      <c r="CK118" s="606"/>
      <c r="CL118" s="606"/>
      <c r="CM118" s="606"/>
      <c r="CN118" s="606"/>
      <c r="CO118" s="606"/>
      <c r="CP118" s="606"/>
      <c r="CQ118" s="606"/>
      <c r="CR118" s="606"/>
      <c r="CS118" s="606"/>
      <c r="CT118" s="606"/>
      <c r="CU118" s="606"/>
      <c r="CV118" s="606"/>
      <c r="CW118" s="606"/>
      <c r="CX118" s="606"/>
      <c r="CY118" s="606"/>
      <c r="CZ118" s="606"/>
      <c r="DA118" s="606"/>
      <c r="DB118" s="606"/>
      <c r="DC118" s="606"/>
      <c r="DD118" s="606"/>
      <c r="DE118" s="606"/>
      <c r="DF118" s="606"/>
      <c r="DG118" s="606"/>
      <c r="DH118" s="606"/>
      <c r="DI118" s="606"/>
      <c r="DJ118" s="606"/>
      <c r="DK118" s="606"/>
      <c r="DL118" s="606"/>
      <c r="DM118" s="606"/>
      <c r="DN118" s="606"/>
      <c r="DO118" s="606"/>
      <c r="DP118" s="606"/>
      <c r="DQ118" s="606"/>
      <c r="DR118" s="606"/>
      <c r="DS118" s="606"/>
      <c r="DT118" s="606"/>
      <c r="DU118" s="606"/>
      <c r="DV118" s="606"/>
      <c r="DW118" s="606"/>
      <c r="DX118" s="606"/>
    </row>
    <row r="119" spans="1:128" ht="15.75" customHeight="1" thickBot="1" x14ac:dyDescent="0.3">
      <c r="A119" s="1"/>
      <c r="B119" s="504"/>
      <c r="C119" s="681" t="s">
        <v>224</v>
      </c>
      <c r="D119" s="429" t="s">
        <v>194</v>
      </c>
      <c r="E119" s="507"/>
      <c r="F119" s="507"/>
      <c r="G119" s="51"/>
      <c r="H119" s="17"/>
      <c r="I119" s="18"/>
      <c r="J119" s="14"/>
      <c r="K119" s="650"/>
      <c r="L119" s="807"/>
      <c r="M119" s="26" t="s">
        <v>401</v>
      </c>
      <c r="N119" s="56"/>
      <c r="O119" s="56"/>
      <c r="P119" s="56"/>
      <c r="Q119" s="56"/>
      <c r="R119" s="56"/>
      <c r="S119" s="26"/>
      <c r="T119" s="377"/>
      <c r="U119" s="666">
        <f>CB82</f>
        <v>1</v>
      </c>
      <c r="V119" s="315"/>
      <c r="W119" s="6"/>
      <c r="X119" s="470"/>
      <c r="Y119" s="470"/>
      <c r="Z119" s="470"/>
      <c r="AA119" s="470"/>
      <c r="AB119" s="470"/>
      <c r="AC119" s="470"/>
      <c r="AD119" s="470"/>
      <c r="AE119" s="470"/>
      <c r="AF119" s="470"/>
      <c r="AG119" s="470"/>
      <c r="AH119" s="470"/>
      <c r="AI119" s="470"/>
      <c r="AJ119" s="470"/>
      <c r="AK119" s="470"/>
      <c r="AL119" s="470"/>
      <c r="AM119" s="470"/>
      <c r="AN119" s="470"/>
      <c r="AO119" s="470"/>
      <c r="AP119" s="470"/>
      <c r="AQ119" s="470"/>
      <c r="AR119" s="470"/>
      <c r="AS119" s="470"/>
      <c r="AT119" s="470"/>
      <c r="AU119" s="470"/>
      <c r="AV119" s="470"/>
      <c r="AW119" s="470"/>
      <c r="AX119" s="470"/>
      <c r="AY119" s="470"/>
      <c r="AZ119" s="470"/>
      <c r="BA119" s="470"/>
      <c r="BB119" s="470"/>
      <c r="BC119" s="470"/>
      <c r="BD119" s="470"/>
      <c r="BE119" s="470"/>
      <c r="BF119" s="470"/>
      <c r="BG119" s="470"/>
      <c r="BH119" s="470"/>
      <c r="BI119" s="470"/>
      <c r="BJ119" s="470"/>
      <c r="BK119" s="798"/>
      <c r="BL119" s="925"/>
      <c r="BM119" s="925"/>
      <c r="BN119" s="931"/>
      <c r="BO119" s="931"/>
      <c r="BP119" s="925"/>
      <c r="BQ119" s="929"/>
      <c r="BR119" s="929"/>
      <c r="BS119" s="932"/>
      <c r="BT119" s="925"/>
      <c r="BU119" s="925"/>
      <c r="BV119" s="930"/>
      <c r="BW119" s="930"/>
      <c r="BX119" s="930"/>
      <c r="BY119" s="930"/>
      <c r="BZ119" s="865"/>
      <c r="CA119" s="865"/>
      <c r="CB119" s="865"/>
      <c r="CC119" s="865"/>
      <c r="CD119" s="865"/>
      <c r="CE119" s="606"/>
      <c r="CF119" s="606"/>
      <c r="CG119" s="606"/>
      <c r="CH119" s="606"/>
      <c r="CI119" s="606"/>
      <c r="CJ119" s="606"/>
      <c r="CK119" s="606"/>
      <c r="CL119" s="606"/>
      <c r="CM119" s="606"/>
      <c r="CN119" s="606"/>
      <c r="CO119" s="606"/>
      <c r="CP119" s="606"/>
      <c r="CQ119" s="606"/>
      <c r="CR119" s="606"/>
      <c r="CS119" s="606"/>
      <c r="CT119" s="606"/>
      <c r="CU119" s="606"/>
      <c r="CV119" s="606"/>
      <c r="CW119" s="606"/>
      <c r="CX119" s="606"/>
      <c r="CY119" s="606"/>
      <c r="CZ119" s="606"/>
      <c r="DA119" s="606"/>
      <c r="DB119" s="606"/>
      <c r="DC119" s="606"/>
      <c r="DD119" s="606"/>
      <c r="DE119" s="606"/>
      <c r="DF119" s="606"/>
      <c r="DG119" s="606"/>
      <c r="DH119" s="606"/>
      <c r="DI119" s="606"/>
      <c r="DJ119" s="606"/>
      <c r="DK119" s="606"/>
      <c r="DL119" s="606"/>
      <c r="DM119" s="606"/>
      <c r="DN119" s="606"/>
      <c r="DO119" s="606"/>
      <c r="DP119" s="606"/>
      <c r="DQ119" s="606"/>
      <c r="DR119" s="606"/>
      <c r="DS119" s="606"/>
      <c r="DT119" s="606"/>
      <c r="DU119" s="606"/>
      <c r="DV119" s="606"/>
      <c r="DW119" s="606"/>
      <c r="DX119" s="606"/>
    </row>
    <row r="120" spans="1:128" ht="15.75" customHeight="1" x14ac:dyDescent="0.25">
      <c r="A120" s="1"/>
      <c r="B120" s="504"/>
      <c r="C120" s="681" t="s">
        <v>224</v>
      </c>
      <c r="D120" s="52" t="s">
        <v>101</v>
      </c>
      <c r="E120" s="507"/>
      <c r="F120" s="507"/>
      <c r="G120" s="51"/>
      <c r="H120" s="17"/>
      <c r="I120" s="18"/>
      <c r="J120" s="14"/>
      <c r="K120" s="325"/>
      <c r="L120" s="376"/>
      <c r="M120" s="752" t="s">
        <v>382</v>
      </c>
      <c r="N120" s="751"/>
      <c r="O120" s="751"/>
      <c r="P120" s="751"/>
      <c r="Q120" s="751"/>
      <c r="R120" s="753"/>
      <c r="S120" s="752"/>
      <c r="T120" s="754"/>
      <c r="U120" s="768"/>
      <c r="V120" s="315"/>
      <c r="W120" s="6"/>
      <c r="X120" s="470"/>
      <c r="Y120" s="470"/>
      <c r="Z120" s="470"/>
      <c r="AA120" s="470"/>
      <c r="AB120" s="470"/>
      <c r="AC120" s="470"/>
      <c r="AD120" s="470"/>
      <c r="AE120" s="470"/>
      <c r="AF120" s="470"/>
      <c r="AG120" s="470"/>
      <c r="AH120" s="470"/>
      <c r="AI120" s="470"/>
      <c r="AJ120" s="470"/>
      <c r="AK120" s="470"/>
      <c r="AL120" s="470"/>
      <c r="AM120" s="470"/>
      <c r="AN120" s="470"/>
      <c r="AO120" s="470"/>
      <c r="AP120" s="470"/>
      <c r="AQ120" s="470"/>
      <c r="AR120" s="470"/>
      <c r="AS120" s="470"/>
      <c r="AT120" s="470"/>
      <c r="AU120" s="470"/>
      <c r="AV120" s="470"/>
      <c r="AW120" s="470"/>
      <c r="AX120" s="470"/>
      <c r="AY120" s="470"/>
      <c r="AZ120" s="470"/>
      <c r="BA120" s="470"/>
      <c r="BB120" s="470"/>
      <c r="BC120" s="470"/>
      <c r="BD120" s="470"/>
      <c r="BE120" s="470"/>
      <c r="BF120" s="470"/>
      <c r="BG120" s="470"/>
      <c r="BH120" s="470"/>
      <c r="BI120" s="470"/>
      <c r="BJ120" s="470"/>
      <c r="BK120" s="798"/>
      <c r="BL120" s="925"/>
      <c r="BM120" s="925"/>
      <c r="BN120" s="931"/>
      <c r="BO120" s="931"/>
      <c r="BP120" s="931"/>
      <c r="BQ120" s="932"/>
      <c r="BR120" s="932"/>
      <c r="BS120" s="932"/>
      <c r="BT120" s="1010"/>
      <c r="BU120" s="1010"/>
      <c r="BV120" s="930"/>
      <c r="BW120" s="930"/>
      <c r="BX120" s="930"/>
      <c r="BY120" s="930"/>
      <c r="BZ120" s="865"/>
      <c r="CA120" s="865"/>
      <c r="CB120" s="865"/>
      <c r="CC120" s="865"/>
      <c r="CD120" s="865"/>
      <c r="CE120" s="606"/>
      <c r="CF120" s="606"/>
      <c r="CG120" s="606"/>
      <c r="CH120" s="606"/>
      <c r="CI120" s="606"/>
      <c r="CJ120" s="606"/>
      <c r="CK120" s="606"/>
      <c r="CL120" s="606"/>
      <c r="CM120" s="606"/>
      <c r="CN120" s="606"/>
      <c r="CO120" s="606"/>
      <c r="CP120" s="606"/>
      <c r="CQ120" s="606"/>
      <c r="CR120" s="606"/>
      <c r="CS120" s="606"/>
      <c r="CT120" s="606"/>
      <c r="CU120" s="606"/>
      <c r="CV120" s="606"/>
      <c r="CW120" s="606"/>
      <c r="CX120" s="606"/>
      <c r="CY120" s="606"/>
      <c r="CZ120" s="606"/>
      <c r="DA120" s="606"/>
      <c r="DB120" s="606"/>
      <c r="DC120" s="606"/>
      <c r="DD120" s="606"/>
      <c r="DE120" s="606"/>
      <c r="DF120" s="606"/>
      <c r="DG120" s="606"/>
      <c r="DH120" s="606"/>
      <c r="DI120" s="606"/>
      <c r="DJ120" s="606"/>
      <c r="DK120" s="606"/>
      <c r="DL120" s="606"/>
      <c r="DM120" s="606"/>
      <c r="DN120" s="606"/>
      <c r="DO120" s="606"/>
      <c r="DP120" s="606"/>
      <c r="DQ120" s="606"/>
      <c r="DR120" s="606"/>
      <c r="DS120" s="606"/>
      <c r="DT120" s="606"/>
      <c r="DU120" s="606"/>
      <c r="DV120" s="606"/>
      <c r="DW120" s="606"/>
      <c r="DX120" s="606"/>
    </row>
    <row r="121" spans="1:128" ht="15.75" customHeight="1" x14ac:dyDescent="0.25">
      <c r="A121" s="1"/>
      <c r="B121" s="504"/>
      <c r="C121" s="681" t="s">
        <v>224</v>
      </c>
      <c r="D121" s="52" t="s">
        <v>196</v>
      </c>
      <c r="E121" s="507"/>
      <c r="F121" s="507"/>
      <c r="G121" s="51"/>
      <c r="H121" s="52"/>
      <c r="I121" s="53"/>
      <c r="J121" s="14"/>
      <c r="K121" s="325"/>
      <c r="L121" s="376"/>
      <c r="M121" s="754"/>
      <c r="N121" s="767"/>
      <c r="O121" s="767"/>
      <c r="P121" s="767"/>
      <c r="Q121" s="767"/>
      <c r="R121" s="768"/>
      <c r="S121" s="768"/>
      <c r="T121" s="769"/>
      <c r="U121" s="768"/>
      <c r="V121" s="315"/>
      <c r="W121" s="6"/>
      <c r="X121" s="470"/>
      <c r="Y121" s="470"/>
      <c r="Z121" s="470"/>
      <c r="AA121" s="470"/>
      <c r="AB121" s="470"/>
      <c r="AC121" s="470"/>
      <c r="AD121" s="470"/>
      <c r="AE121" s="470"/>
      <c r="AF121" s="470"/>
      <c r="AG121" s="470"/>
      <c r="AH121" s="470"/>
      <c r="AI121" s="470"/>
      <c r="AJ121" s="470"/>
      <c r="AK121" s="470"/>
      <c r="AL121" s="470"/>
      <c r="AM121" s="470"/>
      <c r="AN121" s="470"/>
      <c r="AO121" s="470"/>
      <c r="AP121" s="470"/>
      <c r="AQ121" s="470"/>
      <c r="AR121" s="470"/>
      <c r="AS121" s="470"/>
      <c r="AT121" s="470"/>
      <c r="AU121" s="470"/>
      <c r="AV121" s="470"/>
      <c r="AW121" s="470"/>
      <c r="AX121" s="470"/>
      <c r="AY121" s="470"/>
      <c r="AZ121" s="470"/>
      <c r="BA121" s="470"/>
      <c r="BB121" s="470"/>
      <c r="BC121" s="470"/>
      <c r="BD121" s="470"/>
      <c r="BE121" s="470"/>
      <c r="BF121" s="470"/>
      <c r="BG121" s="470"/>
      <c r="BH121" s="470"/>
      <c r="BI121" s="470"/>
      <c r="BJ121" s="470"/>
      <c r="BK121" s="798"/>
      <c r="BL121" s="931"/>
      <c r="BM121" s="931"/>
      <c r="BN121" s="931"/>
      <c r="BO121" s="931"/>
      <c r="BP121" s="931"/>
      <c r="BQ121" s="932"/>
      <c r="BR121" s="932"/>
      <c r="BS121" s="932"/>
      <c r="BT121" s="1006"/>
      <c r="BU121" s="1007"/>
      <c r="BV121" s="930"/>
      <c r="BW121" s="930"/>
      <c r="BX121" s="930"/>
      <c r="BY121" s="930"/>
      <c r="BZ121" s="865"/>
      <c r="CA121" s="865"/>
      <c r="CB121" s="865"/>
      <c r="CC121" s="865"/>
      <c r="CD121" s="865"/>
      <c r="CE121" s="606"/>
      <c r="CF121" s="606"/>
      <c r="CG121" s="606"/>
      <c r="CH121" s="606"/>
      <c r="CI121" s="606"/>
      <c r="CJ121" s="606"/>
      <c r="CK121" s="606"/>
      <c r="CL121" s="606"/>
      <c r="CM121" s="606"/>
      <c r="CN121" s="606"/>
      <c r="CO121" s="606"/>
      <c r="CP121" s="606"/>
      <c r="CQ121" s="606"/>
      <c r="CR121" s="606"/>
      <c r="CS121" s="606"/>
      <c r="CT121" s="606"/>
      <c r="CU121" s="606"/>
      <c r="CV121" s="606"/>
      <c r="CW121" s="606"/>
      <c r="CX121" s="606"/>
      <c r="CY121" s="606"/>
      <c r="CZ121" s="606"/>
      <c r="DA121" s="606"/>
      <c r="DB121" s="606"/>
      <c r="DC121" s="606"/>
      <c r="DD121" s="606"/>
      <c r="DE121" s="606"/>
      <c r="DF121" s="606"/>
      <c r="DG121" s="606"/>
      <c r="DH121" s="606"/>
      <c r="DI121" s="606"/>
      <c r="DJ121" s="606"/>
      <c r="DK121" s="606"/>
      <c r="DL121" s="606"/>
      <c r="DM121" s="606"/>
      <c r="DN121" s="606"/>
      <c r="DO121" s="606"/>
      <c r="DP121" s="606"/>
      <c r="DQ121" s="606"/>
      <c r="DR121" s="606"/>
      <c r="DS121" s="606"/>
      <c r="DT121" s="606"/>
      <c r="DU121" s="606"/>
      <c r="DV121" s="606"/>
      <c r="DW121" s="606"/>
      <c r="DX121" s="606"/>
    </row>
    <row r="122" spans="1:128" ht="15.75" customHeight="1" thickBot="1" x14ac:dyDescent="0.3">
      <c r="A122" s="1"/>
      <c r="B122" s="504"/>
      <c r="C122" s="681" t="s">
        <v>224</v>
      </c>
      <c r="D122" s="52" t="s">
        <v>104</v>
      </c>
      <c r="E122" s="507"/>
      <c r="F122" s="507"/>
      <c r="G122" s="51"/>
      <c r="H122" s="52"/>
      <c r="I122" s="53"/>
      <c r="J122" s="14"/>
      <c r="K122" s="325"/>
      <c r="L122" s="376"/>
      <c r="M122" s="752"/>
      <c r="N122" s="770"/>
      <c r="O122" s="767"/>
      <c r="P122" s="767"/>
      <c r="Q122" s="767"/>
      <c r="R122" s="767"/>
      <c r="S122" s="767"/>
      <c r="T122" s="770"/>
      <c r="U122" s="767"/>
      <c r="V122" s="315"/>
      <c r="W122" s="6"/>
      <c r="X122" s="470"/>
      <c r="Y122" s="470"/>
      <c r="Z122" s="470"/>
      <c r="AA122" s="470"/>
      <c r="AB122" s="470"/>
      <c r="AC122" s="470"/>
      <c r="AD122" s="470"/>
      <c r="AE122" s="470"/>
      <c r="AF122" s="470"/>
      <c r="AG122" s="470"/>
      <c r="AH122" s="470"/>
      <c r="AI122" s="470"/>
      <c r="AJ122" s="470"/>
      <c r="AK122" s="470"/>
      <c r="AL122" s="470"/>
      <c r="AM122" s="470"/>
      <c r="AN122" s="470"/>
      <c r="AO122" s="470"/>
      <c r="AP122" s="470"/>
      <c r="AQ122" s="470"/>
      <c r="AR122" s="470"/>
      <c r="AS122" s="470"/>
      <c r="AT122" s="470"/>
      <c r="AU122" s="470"/>
      <c r="AV122" s="470"/>
      <c r="AW122" s="470"/>
      <c r="AX122" s="470"/>
      <c r="AY122" s="470"/>
      <c r="AZ122" s="470"/>
      <c r="BA122" s="470"/>
      <c r="BB122" s="470"/>
      <c r="BC122" s="470"/>
      <c r="BD122" s="470"/>
      <c r="BE122" s="470"/>
      <c r="BF122" s="470"/>
      <c r="BG122" s="470"/>
      <c r="BH122" s="470"/>
      <c r="BI122" s="470"/>
      <c r="BJ122" s="470"/>
      <c r="BK122" s="798"/>
      <c r="BL122" s="931"/>
      <c r="BM122" s="931"/>
      <c r="BN122" s="931"/>
      <c r="BO122" s="931"/>
      <c r="BP122" s="931"/>
      <c r="BQ122" s="933"/>
      <c r="BR122" s="932"/>
      <c r="BS122" s="932"/>
      <c r="BT122" s="1058"/>
      <c r="BU122" s="1059"/>
      <c r="BV122" s="930"/>
      <c r="BW122" s="930"/>
      <c r="BX122" s="930"/>
      <c r="BY122" s="930"/>
      <c r="BZ122" s="865"/>
      <c r="CA122" s="865"/>
      <c r="CB122" s="865"/>
      <c r="CC122" s="865"/>
      <c r="CD122" s="865"/>
      <c r="CE122" s="606"/>
      <c r="CF122" s="606"/>
      <c r="CG122" s="606"/>
      <c r="CH122" s="606"/>
      <c r="CI122" s="606"/>
      <c r="CJ122" s="606"/>
      <c r="CK122" s="606"/>
      <c r="CL122" s="606"/>
      <c r="CM122" s="606"/>
      <c r="CN122" s="606"/>
      <c r="CO122" s="606"/>
      <c r="CP122" s="606"/>
      <c r="CQ122" s="606"/>
      <c r="CR122" s="606"/>
      <c r="CS122" s="606"/>
      <c r="CT122" s="606"/>
      <c r="CU122" s="606"/>
      <c r="CV122" s="606"/>
      <c r="CW122" s="606"/>
      <c r="CX122" s="606"/>
      <c r="CY122" s="606"/>
      <c r="CZ122" s="606"/>
      <c r="DA122" s="606"/>
      <c r="DB122" s="606"/>
      <c r="DC122" s="606"/>
      <c r="DD122" s="606"/>
      <c r="DE122" s="606"/>
      <c r="DF122" s="606"/>
      <c r="DG122" s="606"/>
      <c r="DH122" s="606"/>
      <c r="DI122" s="606"/>
      <c r="DJ122" s="606"/>
      <c r="DK122" s="606"/>
      <c r="DL122" s="606"/>
      <c r="DM122" s="606"/>
      <c r="DN122" s="606"/>
      <c r="DO122" s="606"/>
      <c r="DP122" s="606"/>
      <c r="DQ122" s="606"/>
      <c r="DR122" s="606"/>
      <c r="DS122" s="606"/>
      <c r="DT122" s="606"/>
      <c r="DU122" s="606"/>
      <c r="DV122" s="606"/>
      <c r="DW122" s="606"/>
      <c r="DX122" s="606"/>
    </row>
    <row r="123" spans="1:128" ht="15.75" customHeight="1" thickBot="1" x14ac:dyDescent="0.3">
      <c r="A123" s="1"/>
      <c r="B123" s="15"/>
      <c r="C123" s="514"/>
      <c r="D123" s="90"/>
      <c r="E123" s="17"/>
      <c r="F123" s="17"/>
      <c r="G123" s="51"/>
      <c r="H123" s="52"/>
      <c r="I123" s="53"/>
      <c r="J123" s="14"/>
      <c r="K123" s="325"/>
      <c r="L123" s="376" t="s">
        <v>6</v>
      </c>
      <c r="M123" s="444" t="s">
        <v>260</v>
      </c>
      <c r="N123" s="388"/>
      <c r="O123" s="56"/>
      <c r="P123" s="56"/>
      <c r="Q123" s="1039" t="s">
        <v>396</v>
      </c>
      <c r="R123" s="1039"/>
      <c r="S123" s="26" t="s">
        <v>392</v>
      </c>
      <c r="T123" s="26"/>
      <c r="U123" s="706">
        <f>BR91</f>
        <v>1280</v>
      </c>
      <c r="V123" s="315"/>
      <c r="W123" s="6"/>
      <c r="X123" s="470"/>
      <c r="Y123" s="470"/>
      <c r="Z123" s="470"/>
      <c r="AA123" s="470"/>
      <c r="AB123" s="470"/>
      <c r="AC123" s="470"/>
      <c r="AD123" s="470"/>
      <c r="AE123" s="470"/>
      <c r="AF123" s="470"/>
      <c r="AG123" s="470"/>
      <c r="AH123" s="470"/>
      <c r="AI123" s="470"/>
      <c r="AJ123" s="470"/>
      <c r="AK123" s="470"/>
      <c r="AL123" s="470"/>
      <c r="AM123" s="470"/>
      <c r="AN123" s="470"/>
      <c r="AO123" s="470"/>
      <c r="AP123" s="470"/>
      <c r="AQ123" s="470"/>
      <c r="AR123" s="470"/>
      <c r="AS123" s="470"/>
      <c r="AT123" s="470"/>
      <c r="AU123" s="470"/>
      <c r="AV123" s="470"/>
      <c r="AW123" s="470"/>
      <c r="AX123" s="470"/>
      <c r="AY123" s="470"/>
      <c r="AZ123" s="470"/>
      <c r="BA123" s="470"/>
      <c r="BB123" s="470"/>
      <c r="BC123" s="470"/>
      <c r="BD123" s="470"/>
      <c r="BE123" s="470"/>
      <c r="BF123" s="470"/>
      <c r="BG123" s="470"/>
      <c r="BH123" s="470"/>
      <c r="BI123" s="470"/>
      <c r="BJ123" s="470"/>
      <c r="BK123" s="798"/>
      <c r="BL123" s="931"/>
      <c r="BM123" s="931"/>
      <c r="BN123" s="938"/>
      <c r="BO123" s="938"/>
      <c r="BP123" s="931"/>
      <c r="BQ123" s="933"/>
      <c r="BR123" s="932"/>
      <c r="BS123" s="931"/>
      <c r="BT123" s="1057"/>
      <c r="BU123" s="1011"/>
      <c r="BV123" s="930"/>
      <c r="BW123" s="930"/>
      <c r="BX123" s="930"/>
      <c r="BY123" s="930"/>
      <c r="BZ123" s="865"/>
      <c r="CA123" s="865"/>
      <c r="CB123" s="865"/>
      <c r="CC123" s="865"/>
      <c r="CD123" s="865"/>
      <c r="CE123" s="606"/>
      <c r="CF123" s="606"/>
      <c r="CG123" s="606"/>
      <c r="CH123" s="606"/>
      <c r="CI123" s="606"/>
      <c r="CJ123" s="606"/>
      <c r="CK123" s="606"/>
      <c r="CL123" s="606"/>
      <c r="CM123" s="606"/>
      <c r="CN123" s="606"/>
      <c r="CO123" s="606"/>
      <c r="CP123" s="606"/>
      <c r="CQ123" s="606"/>
      <c r="CR123" s="606"/>
      <c r="CS123" s="606"/>
      <c r="CT123" s="606"/>
      <c r="CU123" s="606"/>
      <c r="CV123" s="606"/>
      <c r="CW123" s="606"/>
      <c r="CX123" s="606"/>
      <c r="CY123" s="606"/>
      <c r="CZ123" s="606"/>
      <c r="DA123" s="606"/>
      <c r="DB123" s="606"/>
      <c r="DC123" s="606"/>
      <c r="DD123" s="606"/>
      <c r="DE123" s="606"/>
      <c r="DF123" s="606"/>
      <c r="DG123" s="606"/>
      <c r="DH123" s="606"/>
      <c r="DI123" s="606"/>
      <c r="DJ123" s="606"/>
      <c r="DK123" s="606"/>
      <c r="DL123" s="606"/>
      <c r="DM123" s="606"/>
      <c r="DN123" s="606"/>
      <c r="DO123" s="606"/>
      <c r="DP123" s="606"/>
      <c r="DQ123" s="606"/>
      <c r="DR123" s="606"/>
      <c r="DS123" s="606"/>
      <c r="DT123" s="606"/>
      <c r="DU123" s="606"/>
      <c r="DV123" s="606"/>
      <c r="DW123" s="606"/>
      <c r="DX123" s="606"/>
    </row>
    <row r="124" spans="1:128" ht="15.75" customHeight="1" x14ac:dyDescent="0.25">
      <c r="A124" s="1"/>
      <c r="B124" s="15"/>
      <c r="C124" s="61" t="s">
        <v>279</v>
      </c>
      <c r="D124" s="61"/>
      <c r="E124" s="17"/>
      <c r="F124" s="17"/>
      <c r="G124" s="51"/>
      <c r="H124" s="52"/>
      <c r="I124" s="53"/>
      <c r="J124" s="14"/>
      <c r="K124" s="325"/>
      <c r="L124" s="755"/>
      <c r="M124" s="756"/>
      <c r="N124" s="771"/>
      <c r="O124" s="767"/>
      <c r="P124" s="767"/>
      <c r="Q124" s="772"/>
      <c r="R124" s="772"/>
      <c r="S124" s="770"/>
      <c r="T124" s="770"/>
      <c r="U124" s="758"/>
      <c r="V124" s="315"/>
      <c r="W124" s="6"/>
      <c r="X124" s="470"/>
      <c r="Y124" s="470"/>
      <c r="Z124" s="470"/>
      <c r="AA124" s="470"/>
      <c r="AB124" s="470"/>
      <c r="AC124" s="470"/>
      <c r="AD124" s="470"/>
      <c r="AE124" s="470"/>
      <c r="AF124" s="470"/>
      <c r="AG124" s="470"/>
      <c r="AH124" s="470"/>
      <c r="AI124" s="470"/>
      <c r="AJ124" s="470"/>
      <c r="AK124" s="470"/>
      <c r="AL124" s="470"/>
      <c r="AM124" s="470"/>
      <c r="AN124" s="470"/>
      <c r="AO124" s="470"/>
      <c r="AP124" s="470"/>
      <c r="AQ124" s="470"/>
      <c r="AR124" s="470"/>
      <c r="AS124" s="470"/>
      <c r="AT124" s="470"/>
      <c r="AU124" s="470"/>
      <c r="AV124" s="470"/>
      <c r="AW124" s="470"/>
      <c r="AX124" s="470"/>
      <c r="AY124" s="470"/>
      <c r="AZ124" s="470"/>
      <c r="BA124" s="470"/>
      <c r="BB124" s="470"/>
      <c r="BC124" s="470"/>
      <c r="BD124" s="470"/>
      <c r="BE124" s="470"/>
      <c r="BF124" s="470"/>
      <c r="BG124" s="470"/>
      <c r="BH124" s="470"/>
      <c r="BI124" s="470"/>
      <c r="BJ124" s="470"/>
      <c r="BK124" s="798"/>
      <c r="BL124" s="931"/>
      <c r="BM124" s="931"/>
      <c r="BN124" s="856"/>
      <c r="BO124" s="856"/>
      <c r="BP124" s="938"/>
      <c r="BQ124" s="931"/>
      <c r="BR124" s="931"/>
      <c r="BS124" s="856"/>
      <c r="BT124" s="1057"/>
      <c r="BU124" s="1011"/>
      <c r="BV124" s="930"/>
      <c r="BW124" s="934"/>
      <c r="BX124" s="934"/>
      <c r="BY124" s="934"/>
      <c r="BZ124" s="865"/>
      <c r="CA124" s="865"/>
      <c r="CB124" s="865"/>
      <c r="CC124" s="865"/>
      <c r="CD124" s="865"/>
      <c r="CE124" s="606"/>
      <c r="CF124" s="606"/>
      <c r="CG124" s="606"/>
      <c r="CH124" s="606"/>
      <c r="CI124" s="606"/>
      <c r="CJ124" s="606"/>
      <c r="CK124" s="606"/>
      <c r="CL124" s="606"/>
      <c r="CM124" s="606"/>
      <c r="CN124" s="606"/>
      <c r="CO124" s="606"/>
      <c r="CP124" s="606"/>
      <c r="CQ124" s="606"/>
      <c r="CR124" s="606"/>
      <c r="CS124" s="606"/>
      <c r="CT124" s="606"/>
      <c r="CU124" s="606"/>
      <c r="CV124" s="606"/>
      <c r="CW124" s="606"/>
      <c r="CX124" s="606"/>
      <c r="CY124" s="606"/>
      <c r="CZ124" s="606"/>
      <c r="DA124" s="606"/>
      <c r="DB124" s="606"/>
      <c r="DC124" s="606"/>
      <c r="DD124" s="606"/>
      <c r="DE124" s="606"/>
      <c r="DF124" s="606"/>
      <c r="DG124" s="606"/>
      <c r="DH124" s="606"/>
      <c r="DI124" s="606"/>
      <c r="DJ124" s="606"/>
      <c r="DK124" s="606"/>
      <c r="DL124" s="606"/>
      <c r="DM124" s="606"/>
      <c r="DN124" s="606"/>
      <c r="DO124" s="606"/>
      <c r="DP124" s="606"/>
      <c r="DQ124" s="606"/>
      <c r="DR124" s="606"/>
      <c r="DS124" s="606"/>
      <c r="DT124" s="606"/>
      <c r="DU124" s="606"/>
      <c r="DV124" s="606"/>
      <c r="DW124" s="606"/>
      <c r="DX124" s="606"/>
    </row>
    <row r="125" spans="1:128" ht="15.75" customHeight="1" thickBot="1" x14ac:dyDescent="0.3">
      <c r="A125" s="1"/>
      <c r="B125" s="15"/>
      <c r="C125" s="514"/>
      <c r="D125" s="17"/>
      <c r="E125" s="17"/>
      <c r="F125" s="17"/>
      <c r="G125" s="51"/>
      <c r="H125" s="52"/>
      <c r="I125" s="53"/>
      <c r="J125" s="14"/>
      <c r="K125" s="325"/>
      <c r="L125" s="755"/>
      <c r="M125" s="757"/>
      <c r="N125" s="773"/>
      <c r="O125" s="773"/>
      <c r="P125" s="773"/>
      <c r="Q125" s="773"/>
      <c r="R125" s="773"/>
      <c r="S125" s="770"/>
      <c r="T125" s="767"/>
      <c r="U125" s="767"/>
      <c r="V125" s="315"/>
      <c r="W125" s="6"/>
      <c r="X125" s="470"/>
      <c r="Y125" s="470"/>
      <c r="Z125" s="470"/>
      <c r="AA125" s="470"/>
      <c r="AB125" s="470"/>
      <c r="AC125" s="470"/>
      <c r="AD125" s="470"/>
      <c r="AE125" s="470"/>
      <c r="AF125" s="470"/>
      <c r="AG125" s="470"/>
      <c r="AH125" s="470"/>
      <c r="AI125" s="470"/>
      <c r="AJ125" s="470"/>
      <c r="AK125" s="470"/>
      <c r="AL125" s="470"/>
      <c r="AM125" s="470"/>
      <c r="AN125" s="470"/>
      <c r="AO125" s="470"/>
      <c r="AP125" s="470"/>
      <c r="AQ125" s="470"/>
      <c r="AR125" s="470"/>
      <c r="AS125" s="470"/>
      <c r="AT125" s="470"/>
      <c r="AU125" s="470"/>
      <c r="AV125" s="470"/>
      <c r="AW125" s="470"/>
      <c r="AX125" s="470"/>
      <c r="AY125" s="470"/>
      <c r="AZ125" s="470"/>
      <c r="BA125" s="470"/>
      <c r="BB125" s="470"/>
      <c r="BC125" s="470"/>
      <c r="BD125" s="470"/>
      <c r="BE125" s="470"/>
      <c r="BF125" s="470"/>
      <c r="BG125" s="470"/>
      <c r="BH125" s="470"/>
      <c r="BI125" s="470"/>
      <c r="BJ125" s="470"/>
      <c r="BK125" s="798"/>
      <c r="BL125" s="938"/>
      <c r="BM125" s="938"/>
      <c r="BN125" s="856"/>
      <c r="BO125" s="856"/>
      <c r="BP125" s="856"/>
      <c r="BQ125" s="856"/>
      <c r="BR125" s="856"/>
      <c r="BS125" s="856"/>
      <c r="BT125" s="935"/>
      <c r="BU125" s="905"/>
      <c r="BV125" s="934"/>
      <c r="BW125" s="840"/>
      <c r="BX125" s="840"/>
      <c r="BY125" s="840"/>
      <c r="BZ125" s="865"/>
      <c r="CA125" s="865"/>
      <c r="CB125" s="865"/>
      <c r="CC125" s="865"/>
      <c r="CD125" s="865"/>
      <c r="CE125" s="606"/>
      <c r="CF125" s="606"/>
      <c r="CG125" s="606"/>
      <c r="CH125" s="606"/>
      <c r="CI125" s="606"/>
      <c r="CJ125" s="606"/>
      <c r="CK125" s="606"/>
      <c r="CL125" s="606"/>
      <c r="CM125" s="606"/>
      <c r="CN125" s="606"/>
      <c r="CO125" s="606"/>
      <c r="CP125" s="606"/>
      <c r="CQ125" s="606"/>
      <c r="CR125" s="606"/>
      <c r="CS125" s="606"/>
      <c r="CT125" s="606"/>
      <c r="CU125" s="606"/>
      <c r="CV125" s="606"/>
      <c r="CW125" s="606"/>
      <c r="CX125" s="606"/>
      <c r="CY125" s="606"/>
      <c r="CZ125" s="606"/>
      <c r="DA125" s="606"/>
      <c r="DB125" s="606"/>
      <c r="DC125" s="606"/>
      <c r="DD125" s="606"/>
      <c r="DE125" s="606"/>
      <c r="DF125" s="606"/>
      <c r="DG125" s="606"/>
      <c r="DH125" s="606"/>
      <c r="DI125" s="606"/>
      <c r="DJ125" s="606"/>
      <c r="DK125" s="606"/>
      <c r="DL125" s="606"/>
      <c r="DM125" s="606"/>
      <c r="DN125" s="606"/>
      <c r="DO125" s="606"/>
      <c r="DP125" s="606"/>
      <c r="DQ125" s="606"/>
      <c r="DR125" s="606"/>
      <c r="DS125" s="606"/>
      <c r="DT125" s="606"/>
      <c r="DU125" s="606"/>
      <c r="DV125" s="606"/>
      <c r="DW125" s="606"/>
      <c r="DX125" s="606"/>
    </row>
    <row r="126" spans="1:128" ht="15.75" customHeight="1" thickBot="1" x14ac:dyDescent="0.3">
      <c r="A126" s="1"/>
      <c r="B126" s="15"/>
      <c r="C126" s="61" t="s">
        <v>233</v>
      </c>
      <c r="D126" s="61" t="s">
        <v>232</v>
      </c>
      <c r="E126" s="17"/>
      <c r="F126" s="17"/>
      <c r="G126" s="51"/>
      <c r="H126" s="52"/>
      <c r="I126" s="53"/>
      <c r="J126" s="14"/>
      <c r="K126" s="325"/>
      <c r="L126" s="376" t="s">
        <v>22</v>
      </c>
      <c r="M126" s="376" t="s">
        <v>103</v>
      </c>
      <c r="N126" s="376"/>
      <c r="O126" s="300"/>
      <c r="P126" s="300"/>
      <c r="Q126" s="300" t="s">
        <v>378</v>
      </c>
      <c r="R126" s="1012" t="s">
        <v>61</v>
      </c>
      <c r="S126" s="1013"/>
      <c r="T126" s="392"/>
      <c r="U126" s="392"/>
      <c r="V126" s="315"/>
      <c r="W126" s="6"/>
      <c r="X126" s="476"/>
      <c r="Y126" s="476"/>
      <c r="Z126" s="476"/>
      <c r="AA126" s="476"/>
      <c r="AB126" s="476"/>
      <c r="AC126" s="476"/>
      <c r="AD126" s="476"/>
      <c r="AE126" s="476"/>
      <c r="AF126" s="476"/>
      <c r="AG126" s="476"/>
      <c r="AH126" s="476"/>
      <c r="AI126" s="476"/>
      <c r="AJ126" s="476"/>
      <c r="AK126" s="476"/>
      <c r="AL126" s="476"/>
      <c r="AM126" s="476"/>
      <c r="AN126" s="476"/>
      <c r="AO126" s="476"/>
      <c r="AP126" s="476"/>
      <c r="AQ126" s="476"/>
      <c r="AR126" s="476"/>
      <c r="AS126" s="476"/>
      <c r="AT126" s="476"/>
      <c r="AU126" s="476"/>
      <c r="AV126" s="476"/>
      <c r="AW126" s="476"/>
      <c r="AX126" s="476"/>
      <c r="AY126" s="476"/>
      <c r="AZ126" s="476"/>
      <c r="BA126" s="476"/>
      <c r="BB126" s="476"/>
      <c r="BC126" s="476"/>
      <c r="BD126" s="476"/>
      <c r="BE126" s="476"/>
      <c r="BF126" s="476"/>
      <c r="BG126" s="476"/>
      <c r="BH126" s="476"/>
      <c r="BI126" s="476"/>
      <c r="BJ126" s="476"/>
      <c r="BK126" s="798"/>
      <c r="BL126" s="884"/>
      <c r="BM126" s="884"/>
      <c r="BN126" s="884"/>
      <c r="BO126" s="884"/>
      <c r="BP126" s="856"/>
      <c r="BQ126" s="856"/>
      <c r="BR126" s="856"/>
      <c r="BS126" s="884"/>
      <c r="BT126" s="884"/>
      <c r="BU126" s="857"/>
      <c r="BV126" s="865"/>
      <c r="BW126" s="865"/>
      <c r="BX126" s="865"/>
      <c r="BY126" s="865"/>
      <c r="BZ126" s="865"/>
      <c r="CA126" s="865"/>
      <c r="CB126" s="865"/>
      <c r="CC126" s="865"/>
      <c r="CD126" s="865"/>
      <c r="CE126" s="606"/>
      <c r="CF126" s="606"/>
      <c r="CG126" s="606"/>
      <c r="CH126" s="606"/>
      <c r="CI126" s="606"/>
      <c r="CJ126" s="606"/>
      <c r="CK126" s="606"/>
      <c r="CL126" s="606"/>
      <c r="CM126" s="606"/>
      <c r="CN126" s="606"/>
      <c r="CO126" s="606"/>
      <c r="CP126" s="606"/>
      <c r="CQ126" s="606"/>
      <c r="CR126" s="606"/>
      <c r="CS126" s="606"/>
      <c r="CT126" s="606"/>
      <c r="CU126" s="606"/>
      <c r="CV126" s="606"/>
      <c r="CW126" s="606"/>
      <c r="CX126" s="606"/>
      <c r="CY126" s="606"/>
      <c r="CZ126" s="606"/>
      <c r="DA126" s="606"/>
      <c r="DB126" s="606"/>
      <c r="DC126" s="606"/>
      <c r="DD126" s="606"/>
      <c r="DE126" s="606"/>
      <c r="DF126" s="606"/>
      <c r="DG126" s="606"/>
      <c r="DH126" s="606"/>
      <c r="DI126" s="606"/>
      <c r="DJ126" s="606"/>
      <c r="DK126" s="606"/>
      <c r="DL126" s="606"/>
      <c r="DM126" s="606"/>
      <c r="DN126" s="606"/>
      <c r="DO126" s="606"/>
      <c r="DP126" s="606"/>
      <c r="DQ126" s="606"/>
      <c r="DR126" s="606"/>
      <c r="DS126" s="606"/>
      <c r="DT126" s="606"/>
      <c r="DU126" s="606"/>
      <c r="DV126" s="606"/>
      <c r="DW126" s="606"/>
      <c r="DX126" s="606"/>
    </row>
    <row r="127" spans="1:128" ht="15.75" customHeight="1" x14ac:dyDescent="0.25">
      <c r="A127" s="1"/>
      <c r="B127" s="15"/>
      <c r="C127" s="61" t="s">
        <v>21</v>
      </c>
      <c r="D127" s="61" t="s">
        <v>308</v>
      </c>
      <c r="E127" s="17"/>
      <c r="F127" s="17"/>
      <c r="G127" s="51"/>
      <c r="H127" s="52"/>
      <c r="I127" s="53"/>
      <c r="J127" s="14"/>
      <c r="K127" s="325"/>
      <c r="L127" s="376"/>
      <c r="M127" s="755"/>
      <c r="N127" s="755"/>
      <c r="O127" s="774"/>
      <c r="P127" s="427"/>
      <c r="Q127" s="427"/>
      <c r="R127" s="775"/>
      <c r="S127" s="776"/>
      <c r="T127" s="776"/>
      <c r="U127" s="776"/>
      <c r="V127" s="315"/>
      <c r="W127" s="6"/>
      <c r="X127" s="470"/>
      <c r="Y127" s="470"/>
      <c r="Z127" s="470"/>
      <c r="AA127" s="470"/>
      <c r="AB127" s="470"/>
      <c r="AC127" s="470"/>
      <c r="AD127" s="470"/>
      <c r="AE127" s="470"/>
      <c r="AF127" s="470"/>
      <c r="AG127" s="470"/>
      <c r="AH127" s="470"/>
      <c r="AI127" s="470"/>
      <c r="AJ127" s="470"/>
      <c r="AK127" s="470"/>
      <c r="AL127" s="470"/>
      <c r="AM127" s="470"/>
      <c r="AN127" s="470"/>
      <c r="AO127" s="470"/>
      <c r="AP127" s="470"/>
      <c r="AQ127" s="470"/>
      <c r="AR127" s="470"/>
      <c r="AS127" s="470"/>
      <c r="AT127" s="470"/>
      <c r="AU127" s="470"/>
      <c r="AV127" s="470"/>
      <c r="AW127" s="470"/>
      <c r="AX127" s="470"/>
      <c r="AY127" s="470"/>
      <c r="AZ127" s="470"/>
      <c r="BA127" s="470"/>
      <c r="BB127" s="470"/>
      <c r="BC127" s="470"/>
      <c r="BD127" s="470"/>
      <c r="BE127" s="470"/>
      <c r="BF127" s="470"/>
      <c r="BG127" s="470"/>
      <c r="BH127" s="470"/>
      <c r="BI127" s="470"/>
      <c r="BJ127" s="470"/>
      <c r="BK127" s="798"/>
      <c r="BL127" s="884"/>
      <c r="BM127" s="884"/>
      <c r="BN127" s="884"/>
      <c r="BO127" s="884"/>
      <c r="BP127" s="884"/>
      <c r="BQ127" s="884"/>
      <c r="BR127" s="884"/>
      <c r="BS127" s="884"/>
      <c r="BT127" s="884"/>
      <c r="BU127" s="857"/>
      <c r="BV127" s="865"/>
      <c r="BW127" s="865"/>
      <c r="BX127" s="865"/>
      <c r="BY127" s="865"/>
      <c r="BZ127" s="865"/>
      <c r="CA127" s="865"/>
      <c r="CB127" s="865"/>
      <c r="CC127" s="865"/>
      <c r="CD127" s="865"/>
      <c r="CE127" s="606"/>
      <c r="CF127" s="606"/>
      <c r="CG127" s="606"/>
      <c r="CH127" s="606"/>
      <c r="CI127" s="606"/>
      <c r="CJ127" s="606"/>
      <c r="CK127" s="606"/>
      <c r="CL127" s="606"/>
      <c r="CM127" s="606"/>
      <c r="CN127" s="606"/>
      <c r="CO127" s="606"/>
      <c r="CP127" s="606"/>
      <c r="CQ127" s="606"/>
      <c r="CR127" s="606"/>
      <c r="CS127" s="606"/>
      <c r="CT127" s="606"/>
      <c r="CU127" s="606"/>
      <c r="CV127" s="606"/>
      <c r="CW127" s="606"/>
      <c r="CX127" s="606"/>
      <c r="CY127" s="606"/>
      <c r="CZ127" s="606"/>
      <c r="DA127" s="606"/>
      <c r="DB127" s="606"/>
      <c r="DC127" s="606"/>
      <c r="DD127" s="606"/>
      <c r="DE127" s="606"/>
      <c r="DF127" s="606"/>
      <c r="DG127" s="606"/>
      <c r="DH127" s="606"/>
      <c r="DI127" s="606"/>
      <c r="DJ127" s="606"/>
      <c r="DK127" s="606"/>
      <c r="DL127" s="606"/>
      <c r="DM127" s="606"/>
      <c r="DN127" s="606"/>
      <c r="DO127" s="606"/>
      <c r="DP127" s="606"/>
      <c r="DQ127" s="606"/>
      <c r="DR127" s="606"/>
      <c r="DS127" s="606"/>
      <c r="DT127" s="606"/>
      <c r="DU127" s="606"/>
      <c r="DV127" s="606"/>
      <c r="DW127" s="606"/>
      <c r="DX127" s="606"/>
    </row>
    <row r="128" spans="1:128" ht="15.75" customHeight="1" thickBot="1" x14ac:dyDescent="0.3">
      <c r="A128" s="1"/>
      <c r="B128" s="15"/>
      <c r="C128" s="61"/>
      <c r="D128" s="61" t="s">
        <v>237</v>
      </c>
      <c r="E128" s="17"/>
      <c r="F128" s="17"/>
      <c r="G128" s="51"/>
      <c r="H128" s="52"/>
      <c r="I128" s="53"/>
      <c r="J128" s="14"/>
      <c r="K128" s="325"/>
      <c r="L128" s="376"/>
      <c r="M128" s="755"/>
      <c r="N128" s="755"/>
      <c r="O128" s="774"/>
      <c r="P128" s="427"/>
      <c r="Q128" s="427"/>
      <c r="R128" s="775"/>
      <c r="S128" s="776"/>
      <c r="T128" s="776"/>
      <c r="U128" s="776"/>
      <c r="V128" s="315"/>
      <c r="W128" s="92"/>
      <c r="X128" s="470"/>
      <c r="Y128" s="470"/>
      <c r="Z128" s="470"/>
      <c r="AA128" s="470"/>
      <c r="AB128" s="470"/>
      <c r="AC128" s="470"/>
      <c r="AD128" s="470"/>
      <c r="AE128" s="470"/>
      <c r="AF128" s="470"/>
      <c r="AG128" s="470"/>
      <c r="AH128" s="470"/>
      <c r="AI128" s="470"/>
      <c r="AJ128" s="470"/>
      <c r="AK128" s="470"/>
      <c r="AL128" s="470"/>
      <c r="AM128" s="470"/>
      <c r="AN128" s="470"/>
      <c r="AO128" s="470"/>
      <c r="AP128" s="470"/>
      <c r="AQ128" s="470"/>
      <c r="AR128" s="470"/>
      <c r="AS128" s="470"/>
      <c r="AT128" s="470"/>
      <c r="AU128" s="470"/>
      <c r="AV128" s="470"/>
      <c r="AW128" s="470"/>
      <c r="AX128" s="470"/>
      <c r="AY128" s="470"/>
      <c r="AZ128" s="470"/>
      <c r="BA128" s="470"/>
      <c r="BB128" s="470"/>
      <c r="BC128" s="470"/>
      <c r="BD128" s="470"/>
      <c r="BE128" s="470"/>
      <c r="BF128" s="470"/>
      <c r="BG128" s="470"/>
      <c r="BH128" s="470"/>
      <c r="BI128" s="470"/>
      <c r="BJ128" s="470"/>
      <c r="BK128" s="798"/>
      <c r="BL128" s="884"/>
      <c r="BM128" s="884"/>
      <c r="BN128" s="884"/>
      <c r="BO128" s="884"/>
      <c r="BP128" s="884"/>
      <c r="BQ128" s="884"/>
      <c r="BR128" s="884"/>
      <c r="BS128" s="884"/>
      <c r="BT128" s="884"/>
      <c r="BU128" s="857"/>
      <c r="BV128" s="865"/>
      <c r="BW128" s="865"/>
      <c r="BX128" s="865"/>
      <c r="BY128" s="865"/>
      <c r="BZ128" s="865"/>
      <c r="CA128" s="865"/>
      <c r="CB128" s="865"/>
      <c r="CC128" s="865"/>
      <c r="CD128" s="865"/>
      <c r="CE128" s="606"/>
      <c r="CF128" s="606"/>
      <c r="CG128" s="606"/>
      <c r="CH128" s="606"/>
      <c r="CI128" s="606"/>
      <c r="CJ128" s="606"/>
      <c r="CK128" s="606"/>
      <c r="CL128" s="606"/>
      <c r="CM128" s="606"/>
      <c r="CN128" s="606"/>
      <c r="CO128" s="606"/>
      <c r="CP128" s="606"/>
      <c r="CQ128" s="606"/>
      <c r="CR128" s="606"/>
      <c r="CS128" s="606"/>
      <c r="CT128" s="606"/>
      <c r="CU128" s="606"/>
      <c r="CV128" s="606"/>
      <c r="CW128" s="606"/>
      <c r="CX128" s="606"/>
      <c r="CY128" s="606"/>
      <c r="CZ128" s="606"/>
      <c r="DA128" s="606"/>
      <c r="DB128" s="606"/>
      <c r="DC128" s="606"/>
      <c r="DD128" s="606"/>
      <c r="DE128" s="606"/>
      <c r="DF128" s="606"/>
      <c r="DG128" s="606"/>
      <c r="DH128" s="606"/>
      <c r="DI128" s="606"/>
      <c r="DJ128" s="606"/>
      <c r="DK128" s="606"/>
      <c r="DL128" s="606"/>
      <c r="DM128" s="606"/>
      <c r="DN128" s="606"/>
      <c r="DO128" s="606"/>
      <c r="DP128" s="606"/>
      <c r="DQ128" s="606"/>
      <c r="DR128" s="606"/>
      <c r="DS128" s="606"/>
      <c r="DT128" s="606"/>
      <c r="DU128" s="606"/>
      <c r="DV128" s="606"/>
      <c r="DW128" s="606"/>
      <c r="DX128" s="606"/>
    </row>
    <row r="129" spans="1:128" ht="15.75" customHeight="1" thickBot="1" x14ac:dyDescent="0.3">
      <c r="A129" s="1"/>
      <c r="B129" s="15"/>
      <c r="C129" s="61" t="s">
        <v>230</v>
      </c>
      <c r="D129" s="61" t="s">
        <v>238</v>
      </c>
      <c r="E129" s="17"/>
      <c r="F129" s="17"/>
      <c r="G129" s="51"/>
      <c r="H129" s="52"/>
      <c r="I129" s="53"/>
      <c r="J129" s="14"/>
      <c r="K129" s="325"/>
      <c r="L129" s="376" t="s">
        <v>218</v>
      </c>
      <c r="M129" s="376"/>
      <c r="N129" s="376"/>
      <c r="O129" s="299"/>
      <c r="P129" s="427"/>
      <c r="Q129" s="427"/>
      <c r="R129" s="434" t="s">
        <v>79</v>
      </c>
      <c r="S129" s="811" t="s">
        <v>80</v>
      </c>
      <c r="T129" s="1068" t="s">
        <v>81</v>
      </c>
      <c r="U129" s="1069"/>
      <c r="V129" s="315"/>
      <c r="W129" s="92"/>
      <c r="X129" s="470"/>
      <c r="Y129" s="470"/>
      <c r="Z129" s="470"/>
      <c r="AA129" s="470"/>
      <c r="AB129" s="470"/>
      <c r="AC129" s="470"/>
      <c r="AD129" s="470"/>
      <c r="AE129" s="470"/>
      <c r="AF129" s="470"/>
      <c r="AG129" s="470"/>
      <c r="AH129" s="470"/>
      <c r="AI129" s="470"/>
      <c r="AJ129" s="470"/>
      <c r="AK129" s="470"/>
      <c r="AL129" s="470"/>
      <c r="AM129" s="470"/>
      <c r="AN129" s="470"/>
      <c r="AO129" s="470"/>
      <c r="AP129" s="470"/>
      <c r="AQ129" s="470"/>
      <c r="AR129" s="470"/>
      <c r="AS129" s="470"/>
      <c r="AT129" s="470"/>
      <c r="AU129" s="470"/>
      <c r="AV129" s="470"/>
      <c r="AW129" s="470"/>
      <c r="AX129" s="470"/>
      <c r="AY129" s="470"/>
      <c r="AZ129" s="470"/>
      <c r="BA129" s="470"/>
      <c r="BB129" s="470"/>
      <c r="BC129" s="470"/>
      <c r="BD129" s="470"/>
      <c r="BE129" s="470"/>
      <c r="BF129" s="470"/>
      <c r="BG129" s="470"/>
      <c r="BH129" s="470"/>
      <c r="BI129" s="470"/>
      <c r="BJ129" s="470"/>
      <c r="BK129" s="798"/>
      <c r="BL129" s="884"/>
      <c r="BM129" s="884"/>
      <c r="BN129" s="884"/>
      <c r="BO129" s="884"/>
      <c r="BP129" s="884"/>
      <c r="BQ129" s="884"/>
      <c r="BR129" s="884"/>
      <c r="BS129" s="884"/>
      <c r="BT129" s="884"/>
      <c r="BU129" s="857"/>
      <c r="BV129" s="865"/>
      <c r="BW129" s="865"/>
      <c r="BX129" s="865"/>
      <c r="BY129" s="865"/>
      <c r="BZ129" s="865"/>
      <c r="CA129" s="865"/>
      <c r="CB129" s="865"/>
      <c r="CC129" s="865"/>
      <c r="CD129" s="865"/>
      <c r="CE129" s="606"/>
      <c r="CF129" s="606"/>
      <c r="CG129" s="606"/>
      <c r="CH129" s="606"/>
      <c r="CI129" s="606"/>
      <c r="CJ129" s="606"/>
      <c r="CK129" s="606"/>
      <c r="CL129" s="606"/>
      <c r="CM129" s="606"/>
      <c r="CN129" s="606"/>
      <c r="CO129" s="606"/>
      <c r="CP129" s="606"/>
      <c r="CQ129" s="606"/>
      <c r="CR129" s="606"/>
      <c r="CS129" s="606"/>
      <c r="CT129" s="606"/>
      <c r="CU129" s="606"/>
      <c r="CV129" s="606"/>
      <c r="CW129" s="606"/>
      <c r="CX129" s="606"/>
      <c r="CY129" s="606"/>
      <c r="CZ129" s="606"/>
      <c r="DA129" s="606"/>
      <c r="DB129" s="606"/>
      <c r="DC129" s="606"/>
      <c r="DD129" s="606"/>
      <c r="DE129" s="606"/>
      <c r="DF129" s="606"/>
      <c r="DG129" s="606"/>
      <c r="DH129" s="606"/>
      <c r="DI129" s="606"/>
      <c r="DJ129" s="606"/>
      <c r="DK129" s="606"/>
      <c r="DL129" s="606"/>
      <c r="DM129" s="606"/>
      <c r="DN129" s="606"/>
      <c r="DO129" s="606"/>
      <c r="DP129" s="606"/>
      <c r="DQ129" s="606"/>
      <c r="DR129" s="606"/>
      <c r="DS129" s="606"/>
      <c r="DT129" s="606"/>
      <c r="DU129" s="606"/>
      <c r="DV129" s="606"/>
      <c r="DW129" s="606"/>
      <c r="DX129" s="606"/>
    </row>
    <row r="130" spans="1:128" ht="15.75" customHeight="1" thickBot="1" x14ac:dyDescent="0.3">
      <c r="A130" s="1"/>
      <c r="B130" s="15"/>
      <c r="C130" s="61" t="s">
        <v>236</v>
      </c>
      <c r="D130" s="61" t="s">
        <v>235</v>
      </c>
      <c r="E130" s="17"/>
      <c r="F130" s="17"/>
      <c r="G130" s="51"/>
      <c r="H130" s="52"/>
      <c r="I130" s="53"/>
      <c r="J130" s="14"/>
      <c r="K130" s="325"/>
      <c r="L130" s="376"/>
      <c r="M130" s="333"/>
      <c r="N130" s="333"/>
      <c r="O130" s="333"/>
      <c r="P130" s="452" t="s">
        <v>417</v>
      </c>
      <c r="Q130" s="56"/>
      <c r="R130" s="499">
        <v>1.2</v>
      </c>
      <c r="S130" s="500">
        <v>1.5</v>
      </c>
      <c r="T130" s="1064">
        <f>((3.1416*S130*S130)/4)*R130*1000</f>
        <v>2120.58</v>
      </c>
      <c r="U130" s="1065"/>
      <c r="V130" s="315"/>
      <c r="W130" s="6"/>
      <c r="X130" s="470"/>
      <c r="Y130" s="470"/>
      <c r="Z130" s="470"/>
      <c r="AA130" s="470"/>
      <c r="AB130" s="470"/>
      <c r="AC130" s="470"/>
      <c r="AD130" s="470"/>
      <c r="AE130" s="470"/>
      <c r="AF130" s="470"/>
      <c r="AG130" s="470"/>
      <c r="AH130" s="470"/>
      <c r="AI130" s="470"/>
      <c r="AJ130" s="470"/>
      <c r="AK130" s="470"/>
      <c r="AL130" s="470"/>
      <c r="AM130" s="470"/>
      <c r="AN130" s="470"/>
      <c r="AO130" s="470"/>
      <c r="AP130" s="470"/>
      <c r="AQ130" s="470"/>
      <c r="AR130" s="470"/>
      <c r="AS130" s="470"/>
      <c r="AT130" s="470"/>
      <c r="AU130" s="470"/>
      <c r="AV130" s="470"/>
      <c r="AW130" s="470"/>
      <c r="AX130" s="470"/>
      <c r="AY130" s="470"/>
      <c r="AZ130" s="470"/>
      <c r="BA130" s="470"/>
      <c r="BB130" s="470"/>
      <c r="BC130" s="470"/>
      <c r="BD130" s="470"/>
      <c r="BE130" s="470"/>
      <c r="BF130" s="470"/>
      <c r="BG130" s="470"/>
      <c r="BH130" s="470"/>
      <c r="BI130" s="470"/>
      <c r="BJ130" s="470"/>
      <c r="BK130" s="798"/>
      <c r="BL130" s="884"/>
      <c r="BM130" s="884"/>
      <c r="BN130" s="865"/>
      <c r="BO130" s="884"/>
      <c r="BP130" s="884"/>
      <c r="BQ130" s="884"/>
      <c r="BR130" s="884"/>
      <c r="BS130" s="884"/>
      <c r="BT130" s="884"/>
      <c r="BU130" s="857"/>
      <c r="BV130" s="865"/>
      <c r="BW130" s="865"/>
      <c r="BX130" s="865"/>
      <c r="BY130" s="865"/>
      <c r="BZ130" s="865"/>
      <c r="CA130" s="865"/>
      <c r="CB130" s="865"/>
      <c r="CC130" s="865"/>
      <c r="CD130" s="865"/>
      <c r="CE130" s="606"/>
      <c r="CF130" s="606"/>
      <c r="CG130" s="606"/>
      <c r="CH130" s="606"/>
      <c r="CI130" s="606"/>
      <c r="CJ130" s="606"/>
      <c r="CK130" s="606"/>
      <c r="CL130" s="606"/>
      <c r="CM130" s="606"/>
      <c r="CN130" s="606"/>
      <c r="CO130" s="606"/>
      <c r="CP130" s="606"/>
      <c r="CQ130" s="606"/>
      <c r="CR130" s="606"/>
      <c r="CS130" s="606"/>
      <c r="CT130" s="606"/>
      <c r="CU130" s="606"/>
      <c r="CV130" s="606"/>
      <c r="CW130" s="606"/>
      <c r="CX130" s="606"/>
      <c r="CY130" s="606"/>
      <c r="CZ130" s="606"/>
      <c r="DA130" s="606"/>
      <c r="DB130" s="606"/>
      <c r="DC130" s="606"/>
      <c r="DD130" s="606"/>
      <c r="DE130" s="606"/>
      <c r="DF130" s="606"/>
      <c r="DG130" s="606"/>
      <c r="DH130" s="606"/>
      <c r="DI130" s="606"/>
      <c r="DJ130" s="606"/>
      <c r="DK130" s="606"/>
      <c r="DL130" s="606"/>
      <c r="DM130" s="606"/>
      <c r="DN130" s="606"/>
      <c r="DO130" s="606"/>
      <c r="DP130" s="606"/>
      <c r="DQ130" s="606"/>
      <c r="DR130" s="606"/>
      <c r="DS130" s="606"/>
      <c r="DT130" s="606"/>
      <c r="DU130" s="606"/>
      <c r="DV130" s="606"/>
      <c r="DW130" s="606"/>
      <c r="DX130" s="606"/>
    </row>
    <row r="131" spans="1:128" ht="15.75" customHeight="1" thickBot="1" x14ac:dyDescent="0.3">
      <c r="A131" s="1"/>
      <c r="B131" s="15"/>
      <c r="C131" s="514"/>
      <c r="D131" s="51"/>
      <c r="E131" s="17"/>
      <c r="F131" s="17"/>
      <c r="G131" s="52"/>
      <c r="H131" s="52"/>
      <c r="I131" s="53"/>
      <c r="J131" s="14"/>
      <c r="K131" s="325"/>
      <c r="L131" s="755"/>
      <c r="M131" s="757"/>
      <c r="N131" s="757"/>
      <c r="O131" s="757"/>
      <c r="P131" s="751"/>
      <c r="Q131" s="751"/>
      <c r="R131" s="777"/>
      <c r="S131" s="391"/>
      <c r="T131" s="390"/>
      <c r="U131" s="390"/>
      <c r="V131" s="315"/>
      <c r="W131" s="1"/>
      <c r="X131" s="470"/>
      <c r="Y131" s="470"/>
      <c r="Z131" s="470"/>
      <c r="AA131" s="470"/>
      <c r="AB131" s="470"/>
      <c r="AC131" s="470"/>
      <c r="AD131" s="470"/>
      <c r="AE131" s="470"/>
      <c r="AF131" s="470"/>
      <c r="AG131" s="470"/>
      <c r="AH131" s="470"/>
      <c r="AI131" s="470"/>
      <c r="AJ131" s="470"/>
      <c r="AK131" s="470"/>
      <c r="AL131" s="470"/>
      <c r="AM131" s="470"/>
      <c r="AN131" s="470"/>
      <c r="AO131" s="470"/>
      <c r="AP131" s="470"/>
      <c r="AQ131" s="470"/>
      <c r="AR131" s="470"/>
      <c r="AS131" s="470"/>
      <c r="AT131" s="470"/>
      <c r="AU131" s="470"/>
      <c r="AV131" s="470"/>
      <c r="AW131" s="470"/>
      <c r="AX131" s="470"/>
      <c r="AY131" s="470"/>
      <c r="AZ131" s="470"/>
      <c r="BA131" s="470"/>
      <c r="BB131" s="470"/>
      <c r="BC131" s="470"/>
      <c r="BD131" s="470"/>
      <c r="BE131" s="470"/>
      <c r="BF131" s="470"/>
      <c r="BG131" s="470"/>
      <c r="BH131" s="470"/>
      <c r="BI131" s="470"/>
      <c r="BJ131" s="470"/>
      <c r="BK131" s="798"/>
      <c r="BL131" s="884"/>
      <c r="BM131" s="884"/>
      <c r="BN131" s="865"/>
      <c r="BO131" s="884"/>
      <c r="BP131" s="884"/>
      <c r="BQ131" s="884"/>
      <c r="BR131" s="884"/>
      <c r="BS131" s="884"/>
      <c r="BT131" s="884"/>
      <c r="BU131" s="857"/>
      <c r="BV131" s="865"/>
      <c r="BW131" s="865"/>
      <c r="BX131" s="865"/>
      <c r="BY131" s="865"/>
      <c r="BZ131" s="865"/>
      <c r="CA131" s="865"/>
      <c r="CB131" s="865"/>
      <c r="CC131" s="865"/>
      <c r="CD131" s="865"/>
      <c r="CE131" s="606"/>
      <c r="CF131" s="606"/>
      <c r="CG131" s="606"/>
      <c r="CH131" s="606"/>
      <c r="CI131" s="606"/>
      <c r="CJ131" s="606"/>
      <c r="CK131" s="606"/>
      <c r="CL131" s="606"/>
      <c r="CM131" s="606"/>
      <c r="CN131" s="606"/>
      <c r="CO131" s="606"/>
      <c r="CP131" s="606"/>
      <c r="CQ131" s="606"/>
      <c r="CR131" s="606"/>
      <c r="CS131" s="606"/>
      <c r="CT131" s="606"/>
      <c r="CU131" s="606"/>
      <c r="CV131" s="606"/>
      <c r="CW131" s="606"/>
      <c r="CX131" s="606"/>
      <c r="CY131" s="606"/>
      <c r="CZ131" s="606"/>
      <c r="DA131" s="606"/>
      <c r="DB131" s="606"/>
      <c r="DC131" s="606"/>
      <c r="DD131" s="606"/>
      <c r="DE131" s="606"/>
      <c r="DF131" s="606"/>
      <c r="DG131" s="606"/>
      <c r="DH131" s="606"/>
      <c r="DI131" s="606"/>
      <c r="DJ131" s="606"/>
      <c r="DK131" s="606"/>
      <c r="DL131" s="606"/>
      <c r="DM131" s="606"/>
      <c r="DN131" s="606"/>
      <c r="DO131" s="606"/>
      <c r="DP131" s="606"/>
      <c r="DQ131" s="606"/>
      <c r="DR131" s="606"/>
      <c r="DS131" s="606"/>
      <c r="DT131" s="606"/>
      <c r="DU131" s="606"/>
      <c r="DV131" s="606"/>
      <c r="DW131" s="606"/>
      <c r="DX131" s="606"/>
    </row>
    <row r="132" spans="1:128" ht="15.75" customHeight="1" thickBot="1" x14ac:dyDescent="0.3">
      <c r="A132" s="1"/>
      <c r="B132" s="15"/>
      <c r="C132" s="514"/>
      <c r="D132" s="51"/>
      <c r="E132" s="17"/>
      <c r="F132" s="17"/>
      <c r="G132" s="52"/>
      <c r="H132" s="52"/>
      <c r="I132" s="53"/>
      <c r="J132" s="14"/>
      <c r="K132" s="325"/>
      <c r="L132" s="376" t="s">
        <v>84</v>
      </c>
      <c r="M132" s="26" t="s">
        <v>85</v>
      </c>
      <c r="N132" s="56"/>
      <c r="O132" s="56"/>
      <c r="P132" s="56"/>
      <c r="Q132" s="56"/>
      <c r="R132" s="480" t="s">
        <v>79</v>
      </c>
      <c r="S132" s="57" t="s">
        <v>86</v>
      </c>
      <c r="T132" s="481" t="s">
        <v>383</v>
      </c>
      <c r="U132" s="481" t="s">
        <v>88</v>
      </c>
      <c r="V132" s="315"/>
      <c r="W132" s="1"/>
      <c r="X132" s="470"/>
      <c r="Y132" s="470"/>
      <c r="Z132" s="470"/>
      <c r="AA132" s="470"/>
      <c r="AB132" s="470"/>
      <c r="AC132" s="470"/>
      <c r="AD132" s="470"/>
      <c r="AE132" s="470"/>
      <c r="AF132" s="470"/>
      <c r="AG132" s="470"/>
      <c r="AH132" s="470"/>
      <c r="AI132" s="470"/>
      <c r="AJ132" s="470"/>
      <c r="AK132" s="470"/>
      <c r="AL132" s="470"/>
      <c r="AM132" s="470"/>
      <c r="AN132" s="470"/>
      <c r="AO132" s="470"/>
      <c r="AP132" s="470"/>
      <c r="AQ132" s="470"/>
      <c r="AR132" s="470"/>
      <c r="AS132" s="470"/>
      <c r="AT132" s="470"/>
      <c r="AU132" s="470"/>
      <c r="AV132" s="470"/>
      <c r="AW132" s="470"/>
      <c r="AX132" s="470"/>
      <c r="AY132" s="470"/>
      <c r="AZ132" s="470"/>
      <c r="BA132" s="470"/>
      <c r="BB132" s="470"/>
      <c r="BC132" s="470"/>
      <c r="BD132" s="470"/>
      <c r="BE132" s="470"/>
      <c r="BF132" s="470"/>
      <c r="BG132" s="470"/>
      <c r="BH132" s="470"/>
      <c r="BI132" s="470"/>
      <c r="BJ132" s="470"/>
      <c r="BK132" s="798"/>
      <c r="BL132" s="865" t="s">
        <v>108</v>
      </c>
      <c r="BM132" s="865"/>
      <c r="BN132" s="865"/>
      <c r="BO132" s="884"/>
      <c r="BP132" s="884"/>
      <c r="BQ132" s="884"/>
      <c r="BR132" s="884"/>
      <c r="BS132" s="884"/>
      <c r="BT132" s="884"/>
      <c r="BU132" s="857"/>
      <c r="BV132" s="865"/>
      <c r="BW132" s="865"/>
      <c r="BX132" s="865"/>
      <c r="BY132" s="865"/>
      <c r="BZ132" s="865"/>
      <c r="CA132" s="865"/>
      <c r="CB132" s="865"/>
      <c r="CC132" s="865"/>
      <c r="CD132" s="865"/>
      <c r="CE132" s="606"/>
      <c r="CF132" s="606"/>
      <c r="CG132" s="606"/>
      <c r="CH132" s="606"/>
      <c r="CI132" s="606"/>
      <c r="CJ132" s="606"/>
      <c r="CK132" s="606"/>
      <c r="CL132" s="606"/>
      <c r="CM132" s="606"/>
      <c r="CN132" s="606"/>
      <c r="CO132" s="606"/>
      <c r="CP132" s="606"/>
      <c r="CQ132" s="606"/>
      <c r="CR132" s="606"/>
      <c r="CS132" s="606"/>
      <c r="CT132" s="606"/>
      <c r="CU132" s="606"/>
      <c r="CV132" s="606"/>
      <c r="CW132" s="606"/>
      <c r="CX132" s="606"/>
      <c r="CY132" s="606"/>
      <c r="CZ132" s="606"/>
      <c r="DA132" s="606"/>
      <c r="DB132" s="606"/>
      <c r="DC132" s="606"/>
      <c r="DD132" s="606"/>
      <c r="DE132" s="606"/>
      <c r="DF132" s="606"/>
      <c r="DG132" s="606"/>
      <c r="DH132" s="606"/>
      <c r="DI132" s="606"/>
      <c r="DJ132" s="606"/>
      <c r="DK132" s="606"/>
      <c r="DL132" s="606"/>
      <c r="DM132" s="606"/>
      <c r="DN132" s="606"/>
      <c r="DO132" s="606"/>
      <c r="DP132" s="606"/>
      <c r="DQ132" s="606"/>
      <c r="DR132" s="606"/>
      <c r="DS132" s="606"/>
      <c r="DT132" s="606"/>
      <c r="DU132" s="606"/>
      <c r="DV132" s="606"/>
      <c r="DW132" s="606"/>
      <c r="DX132" s="606"/>
    </row>
    <row r="133" spans="1:128" ht="15.75" customHeight="1" thickBot="1" x14ac:dyDescent="0.3">
      <c r="A133" s="1"/>
      <c r="B133" s="15"/>
      <c r="C133" s="77" t="s">
        <v>325</v>
      </c>
      <c r="D133" s="52"/>
      <c r="E133" s="17"/>
      <c r="F133" s="17"/>
      <c r="G133" s="52"/>
      <c r="H133" s="52"/>
      <c r="I133" s="53"/>
      <c r="J133" s="14"/>
      <c r="K133" s="325"/>
      <c r="L133" s="376"/>
      <c r="M133" s="393"/>
      <c r="N133" s="333"/>
      <c r="O133" s="333"/>
      <c r="P133" s="396" t="s">
        <v>402</v>
      </c>
      <c r="Q133" s="397"/>
      <c r="R133" s="451">
        <v>1</v>
      </c>
      <c r="S133" s="454">
        <v>1</v>
      </c>
      <c r="T133" s="455">
        <v>2</v>
      </c>
      <c r="U133" s="467">
        <f>R133*S133*T133*1000</f>
        <v>2000</v>
      </c>
      <c r="V133" s="315"/>
      <c r="W133" s="1"/>
      <c r="X133" s="470"/>
      <c r="Y133" s="470"/>
      <c r="Z133" s="470"/>
      <c r="AA133" s="470"/>
      <c r="AB133" s="470"/>
      <c r="AC133" s="470"/>
      <c r="AD133" s="470"/>
      <c r="AE133" s="470"/>
      <c r="AF133" s="470"/>
      <c r="AG133" s="470"/>
      <c r="AH133" s="470"/>
      <c r="AI133" s="470"/>
      <c r="AJ133" s="470"/>
      <c r="AK133" s="470"/>
      <c r="AL133" s="470"/>
      <c r="AM133" s="470"/>
      <c r="AN133" s="470"/>
      <c r="AO133" s="470"/>
      <c r="AP133" s="470"/>
      <c r="AQ133" s="470"/>
      <c r="AR133" s="470"/>
      <c r="AS133" s="470"/>
      <c r="AT133" s="470"/>
      <c r="AU133" s="470"/>
      <c r="AV133" s="470"/>
      <c r="AW133" s="470"/>
      <c r="AX133" s="470"/>
      <c r="AY133" s="470"/>
      <c r="AZ133" s="470"/>
      <c r="BA133" s="470"/>
      <c r="BB133" s="470"/>
      <c r="BC133" s="470"/>
      <c r="BD133" s="470"/>
      <c r="BE133" s="470"/>
      <c r="BF133" s="470"/>
      <c r="BG133" s="470"/>
      <c r="BH133" s="470"/>
      <c r="BI133" s="470"/>
      <c r="BJ133" s="470"/>
      <c r="BK133" s="800"/>
      <c r="BL133" s="865" t="s">
        <v>109</v>
      </c>
      <c r="BM133" s="865"/>
      <c r="BN133" s="865"/>
      <c r="BO133" s="884"/>
      <c r="BP133" s="884"/>
      <c r="BQ133" s="884"/>
      <c r="BR133" s="884"/>
      <c r="BS133" s="884"/>
      <c r="BT133" s="884"/>
      <c r="BU133" s="857"/>
      <c r="BV133" s="865"/>
      <c r="BW133" s="865"/>
      <c r="BX133" s="865"/>
      <c r="BY133" s="865"/>
      <c r="BZ133" s="865"/>
      <c r="CA133" s="865"/>
      <c r="CB133" s="865"/>
      <c r="CC133" s="865"/>
      <c r="CD133" s="865"/>
      <c r="CE133" s="606"/>
      <c r="CF133" s="606"/>
      <c r="CG133" s="606"/>
      <c r="CH133" s="606"/>
      <c r="CI133" s="606"/>
      <c r="CJ133" s="606"/>
      <c r="CK133" s="606"/>
      <c r="CL133" s="606"/>
      <c r="CM133" s="606"/>
      <c r="CN133" s="606"/>
      <c r="CO133" s="606"/>
      <c r="CP133" s="606"/>
      <c r="CQ133" s="606"/>
      <c r="CR133" s="606"/>
      <c r="CS133" s="606"/>
      <c r="CT133" s="606"/>
      <c r="CU133" s="606"/>
      <c r="CV133" s="606"/>
      <c r="CW133" s="606"/>
      <c r="CX133" s="606"/>
      <c r="CY133" s="606"/>
      <c r="CZ133" s="606"/>
      <c r="DA133" s="606"/>
      <c r="DB133" s="606"/>
      <c r="DC133" s="606"/>
      <c r="DD133" s="606"/>
      <c r="DE133" s="606"/>
      <c r="DF133" s="606"/>
      <c r="DG133" s="606"/>
      <c r="DH133" s="606"/>
      <c r="DI133" s="606"/>
      <c r="DJ133" s="606"/>
      <c r="DK133" s="606"/>
      <c r="DL133" s="606"/>
      <c r="DM133" s="606"/>
      <c r="DN133" s="606"/>
      <c r="DO133" s="606"/>
      <c r="DP133" s="606"/>
      <c r="DQ133" s="606"/>
      <c r="DR133" s="606"/>
      <c r="DS133" s="606"/>
      <c r="DT133" s="606"/>
      <c r="DU133" s="606"/>
      <c r="DV133" s="606"/>
      <c r="DW133" s="606"/>
      <c r="DX133" s="606"/>
    </row>
    <row r="134" spans="1:128" ht="15.75" customHeight="1" x14ac:dyDescent="0.25">
      <c r="A134" s="1"/>
      <c r="B134" s="15"/>
      <c r="C134" s="514"/>
      <c r="D134" s="52" t="s">
        <v>331</v>
      </c>
      <c r="E134" s="17"/>
      <c r="F134" s="17"/>
      <c r="G134" s="52"/>
      <c r="H134" s="52"/>
      <c r="I134" s="53"/>
      <c r="J134" s="14"/>
      <c r="K134" s="778"/>
      <c r="L134" s="755"/>
      <c r="M134" s="779"/>
      <c r="N134" s="757"/>
      <c r="O134" s="757"/>
      <c r="P134" s="780"/>
      <c r="Q134" s="781"/>
      <c r="R134" s="339"/>
      <c r="S134" s="339"/>
      <c r="T134" s="339"/>
      <c r="U134" s="782"/>
      <c r="V134" s="783"/>
      <c r="W134" s="1"/>
      <c r="X134" s="470"/>
      <c r="Y134" s="470"/>
      <c r="Z134" s="470"/>
      <c r="AA134" s="470"/>
      <c r="AB134" s="470"/>
      <c r="AC134" s="470"/>
      <c r="AD134" s="470"/>
      <c r="AE134" s="470"/>
      <c r="AF134" s="470"/>
      <c r="AG134" s="470"/>
      <c r="AH134" s="470"/>
      <c r="AI134" s="470"/>
      <c r="AJ134" s="470"/>
      <c r="AK134" s="470"/>
      <c r="AL134" s="470"/>
      <c r="AM134" s="470"/>
      <c r="AN134" s="470"/>
      <c r="AO134" s="470"/>
      <c r="AP134" s="470"/>
      <c r="AQ134" s="470"/>
      <c r="AR134" s="470"/>
      <c r="AS134" s="470"/>
      <c r="AT134" s="470"/>
      <c r="AU134" s="470"/>
      <c r="AV134" s="470"/>
      <c r="AW134" s="470"/>
      <c r="AX134" s="470"/>
      <c r="AY134" s="470"/>
      <c r="AZ134" s="470"/>
      <c r="BA134" s="470"/>
      <c r="BB134" s="470"/>
      <c r="BC134" s="470"/>
      <c r="BD134" s="470"/>
      <c r="BE134" s="470"/>
      <c r="BF134" s="470"/>
      <c r="BG134" s="470"/>
      <c r="BH134" s="470"/>
      <c r="BI134" s="470"/>
      <c r="BJ134" s="470"/>
      <c r="BK134" s="800"/>
      <c r="BL134" s="865" t="s">
        <v>110</v>
      </c>
      <c r="BM134" s="865"/>
      <c r="BN134" s="865"/>
      <c r="BO134" s="884"/>
      <c r="BP134" s="884"/>
      <c r="BQ134" s="884"/>
      <c r="BR134" s="884"/>
      <c r="BS134" s="884"/>
      <c r="BT134" s="884"/>
      <c r="BU134" s="865"/>
      <c r="BV134" s="865"/>
      <c r="BW134" s="865"/>
      <c r="BX134" s="865"/>
      <c r="BY134" s="865"/>
      <c r="BZ134" s="865"/>
      <c r="CA134" s="865"/>
      <c r="CB134" s="865"/>
      <c r="CC134" s="865"/>
      <c r="CD134" s="865"/>
      <c r="CE134" s="606"/>
      <c r="CF134" s="606"/>
      <c r="CG134" s="606"/>
      <c r="CH134" s="606"/>
      <c r="CI134" s="606"/>
      <c r="CJ134" s="606"/>
      <c r="CK134" s="606"/>
      <c r="CL134" s="606"/>
      <c r="CM134" s="606"/>
      <c r="CN134" s="606"/>
      <c r="CO134" s="606"/>
      <c r="CP134" s="606"/>
      <c r="CQ134" s="606"/>
      <c r="CR134" s="606"/>
      <c r="CS134" s="606"/>
      <c r="CT134" s="606"/>
      <c r="CU134" s="606"/>
      <c r="CV134" s="606"/>
      <c r="CW134" s="606"/>
      <c r="CX134" s="606"/>
      <c r="CY134" s="606"/>
      <c r="CZ134" s="606"/>
      <c r="DA134" s="606"/>
      <c r="DB134" s="606"/>
      <c r="DC134" s="606"/>
      <c r="DD134" s="606"/>
      <c r="DE134" s="606"/>
      <c r="DF134" s="606"/>
      <c r="DG134" s="606"/>
      <c r="DH134" s="606"/>
      <c r="DI134" s="606"/>
      <c r="DJ134" s="606"/>
      <c r="DK134" s="606"/>
      <c r="DL134" s="606"/>
      <c r="DM134" s="606"/>
      <c r="DN134" s="606"/>
      <c r="DO134" s="606"/>
      <c r="DP134" s="606"/>
      <c r="DQ134" s="606"/>
      <c r="DR134" s="606"/>
      <c r="DS134" s="606"/>
      <c r="DT134" s="606"/>
      <c r="DU134" s="606"/>
      <c r="DV134" s="606"/>
      <c r="DW134" s="606"/>
      <c r="DX134" s="606"/>
    </row>
    <row r="135" spans="1:128" ht="15.75" customHeight="1" thickBot="1" x14ac:dyDescent="0.3">
      <c r="A135" s="1"/>
      <c r="B135" s="15"/>
      <c r="C135" s="514"/>
      <c r="D135" s="17"/>
      <c r="E135" s="17"/>
      <c r="F135" s="17"/>
      <c r="G135" s="52"/>
      <c r="H135" s="52"/>
      <c r="I135" s="53"/>
      <c r="J135" s="2"/>
      <c r="K135" s="778"/>
      <c r="L135" s="755"/>
      <c r="M135" s="779"/>
      <c r="N135" s="757"/>
      <c r="O135" s="757"/>
      <c r="P135" s="757"/>
      <c r="Q135" s="751"/>
      <c r="R135" s="390"/>
      <c r="S135" s="391"/>
      <c r="T135" s="390"/>
      <c r="U135" s="784"/>
      <c r="V135" s="783"/>
      <c r="W135" s="1"/>
      <c r="X135" s="470"/>
      <c r="Y135" s="470"/>
      <c r="Z135" s="470"/>
      <c r="AA135" s="470"/>
      <c r="AB135" s="470"/>
      <c r="AC135" s="470"/>
      <c r="AD135" s="470"/>
      <c r="AE135" s="470"/>
      <c r="AF135" s="470"/>
      <c r="AG135" s="470"/>
      <c r="AH135" s="470"/>
      <c r="AI135" s="470"/>
      <c r="AJ135" s="470"/>
      <c r="AK135" s="470"/>
      <c r="AL135" s="470"/>
      <c r="AM135" s="470"/>
      <c r="AN135" s="470"/>
      <c r="AO135" s="470"/>
      <c r="AP135" s="470"/>
      <c r="AQ135" s="470"/>
      <c r="AR135" s="470"/>
      <c r="AS135" s="470"/>
      <c r="AT135" s="470"/>
      <c r="AU135" s="470"/>
      <c r="AV135" s="470"/>
      <c r="AW135" s="470"/>
      <c r="AX135" s="470"/>
      <c r="AY135" s="470"/>
      <c r="AZ135" s="470"/>
      <c r="BA135" s="470"/>
      <c r="BB135" s="470"/>
      <c r="BC135" s="470"/>
      <c r="BD135" s="470"/>
      <c r="BE135" s="470"/>
      <c r="BF135" s="470"/>
      <c r="BG135" s="470"/>
      <c r="BH135" s="470"/>
      <c r="BI135" s="470"/>
      <c r="BJ135" s="470"/>
      <c r="BK135" s="800"/>
      <c r="BL135" s="865"/>
      <c r="BM135" s="865"/>
      <c r="BN135" s="865"/>
      <c r="BO135" s="884"/>
      <c r="BP135" s="884"/>
      <c r="BQ135" s="884"/>
      <c r="BR135" s="884"/>
      <c r="BS135" s="884"/>
      <c r="BT135" s="884"/>
      <c r="BU135" s="865"/>
      <c r="BV135" s="865"/>
      <c r="BW135" s="865"/>
      <c r="BX135" s="865"/>
      <c r="BY135" s="865"/>
      <c r="BZ135" s="865"/>
      <c r="CA135" s="865"/>
      <c r="CB135" s="865"/>
      <c r="CC135" s="865"/>
      <c r="CD135" s="865"/>
      <c r="CE135" s="606"/>
      <c r="CF135" s="606"/>
      <c r="CG135" s="606"/>
      <c r="CH135" s="606"/>
      <c r="CI135" s="606"/>
      <c r="CJ135" s="606"/>
      <c r="CK135" s="606"/>
      <c r="CL135" s="606"/>
      <c r="CM135" s="606"/>
      <c r="CN135" s="606"/>
      <c r="CO135" s="606"/>
      <c r="CP135" s="606"/>
      <c r="CQ135" s="606"/>
      <c r="CR135" s="606"/>
      <c r="CS135" s="606"/>
      <c r="CT135" s="606"/>
      <c r="CU135" s="606"/>
      <c r="CV135" s="606"/>
      <c r="CW135" s="606"/>
      <c r="CX135" s="606"/>
      <c r="CY135" s="606"/>
      <c r="CZ135" s="606"/>
      <c r="DA135" s="606"/>
      <c r="DB135" s="606"/>
      <c r="DC135" s="606"/>
      <c r="DD135" s="606"/>
      <c r="DE135" s="606"/>
      <c r="DF135" s="606"/>
      <c r="DG135" s="606"/>
      <c r="DH135" s="606"/>
      <c r="DI135" s="606"/>
      <c r="DJ135" s="606"/>
      <c r="DK135" s="606"/>
      <c r="DL135" s="606"/>
      <c r="DM135" s="606"/>
      <c r="DN135" s="606"/>
      <c r="DO135" s="606"/>
      <c r="DP135" s="606"/>
      <c r="DQ135" s="606"/>
      <c r="DR135" s="606"/>
      <c r="DS135" s="606"/>
      <c r="DT135" s="606"/>
      <c r="DU135" s="606"/>
      <c r="DV135" s="606"/>
      <c r="DW135" s="606"/>
      <c r="DX135" s="606"/>
    </row>
    <row r="136" spans="1:128" ht="15.75" customHeight="1" thickBot="1" x14ac:dyDescent="0.3">
      <c r="A136" s="1"/>
      <c r="B136" s="15"/>
      <c r="C136" s="969" t="s">
        <v>351</v>
      </c>
      <c r="D136" s="970"/>
      <c r="E136" s="1086" t="s">
        <v>350</v>
      </c>
      <c r="F136" s="1087"/>
      <c r="G136" s="1087"/>
      <c r="H136" s="1088"/>
      <c r="I136" s="53"/>
      <c r="J136" s="6"/>
      <c r="K136" s="325"/>
      <c r="L136" s="376"/>
      <c r="M136" s="393"/>
      <c r="N136" s="333"/>
      <c r="O136" s="1042" t="s">
        <v>72</v>
      </c>
      <c r="P136" s="1048"/>
      <c r="Q136" s="1046" t="s">
        <v>73</v>
      </c>
      <c r="R136" s="1047"/>
      <c r="S136" s="1050" t="s">
        <v>34</v>
      </c>
      <c r="T136" s="1050" t="s">
        <v>90</v>
      </c>
      <c r="U136" s="399"/>
      <c r="V136" s="315"/>
      <c r="W136" s="1"/>
      <c r="X136" s="470"/>
      <c r="Y136" s="470"/>
      <c r="Z136" s="470"/>
      <c r="AA136" s="470"/>
      <c r="AB136" s="470"/>
      <c r="AC136" s="470"/>
      <c r="AD136" s="470"/>
      <c r="AE136" s="470"/>
      <c r="AF136" s="470"/>
      <c r="AG136" s="470"/>
      <c r="AH136" s="470"/>
      <c r="AI136" s="470"/>
      <c r="AJ136" s="470"/>
      <c r="AK136" s="470"/>
      <c r="AL136" s="470"/>
      <c r="AM136" s="470"/>
      <c r="AN136" s="470"/>
      <c r="AO136" s="470"/>
      <c r="AP136" s="470"/>
      <c r="AQ136" s="470"/>
      <c r="AR136" s="470"/>
      <c r="AS136" s="470"/>
      <c r="AT136" s="470"/>
      <c r="AU136" s="470"/>
      <c r="AV136" s="470"/>
      <c r="AW136" s="470"/>
      <c r="AX136" s="470"/>
      <c r="AY136" s="470"/>
      <c r="AZ136" s="470"/>
      <c r="BA136" s="470"/>
      <c r="BB136" s="470"/>
      <c r="BC136" s="470"/>
      <c r="BD136" s="470"/>
      <c r="BE136" s="470"/>
      <c r="BF136" s="470"/>
      <c r="BG136" s="470"/>
      <c r="BH136" s="470"/>
      <c r="BI136" s="470"/>
      <c r="BJ136" s="470"/>
      <c r="BK136" s="800"/>
      <c r="BL136" s="865" t="str">
        <f>S181</f>
        <v>&gt; 1,50m</v>
      </c>
      <c r="BM136" s="865"/>
      <c r="BN136" s="865"/>
      <c r="BO136" s="884"/>
      <c r="BP136" s="884"/>
      <c r="BQ136" s="884"/>
      <c r="BR136" s="884"/>
      <c r="BS136" s="884"/>
      <c r="BT136" s="884"/>
      <c r="BU136" s="865"/>
      <c r="BV136" s="865"/>
      <c r="BW136" s="865"/>
      <c r="BX136" s="865"/>
      <c r="BY136" s="865"/>
      <c r="BZ136" s="865"/>
      <c r="CA136" s="865"/>
      <c r="CB136" s="865"/>
      <c r="CC136" s="865"/>
      <c r="CD136" s="865"/>
      <c r="CE136" s="606"/>
      <c r="CF136" s="606"/>
      <c r="CG136" s="606"/>
      <c r="CH136" s="606"/>
      <c r="CI136" s="606"/>
      <c r="CJ136" s="606"/>
      <c r="CK136" s="606"/>
      <c r="CL136" s="606"/>
      <c r="CM136" s="606"/>
      <c r="CN136" s="606"/>
      <c r="CO136" s="606"/>
      <c r="CP136" s="606"/>
      <c r="CQ136" s="606"/>
      <c r="CR136" s="606"/>
      <c r="CS136" s="606"/>
      <c r="CT136" s="606"/>
      <c r="CU136" s="606"/>
      <c r="CV136" s="606"/>
      <c r="CW136" s="606"/>
      <c r="CX136" s="606"/>
      <c r="CY136" s="606"/>
      <c r="CZ136" s="606"/>
      <c r="DA136" s="606"/>
      <c r="DB136" s="606"/>
      <c r="DC136" s="606"/>
      <c r="DD136" s="606"/>
      <c r="DE136" s="606"/>
      <c r="DF136" s="606"/>
      <c r="DG136" s="606"/>
      <c r="DH136" s="606"/>
      <c r="DI136" s="606"/>
      <c r="DJ136" s="606"/>
      <c r="DK136" s="606"/>
      <c r="DL136" s="606"/>
      <c r="DM136" s="606"/>
      <c r="DN136" s="606"/>
      <c r="DO136" s="606"/>
      <c r="DP136" s="606"/>
      <c r="DQ136" s="606"/>
      <c r="DR136" s="606"/>
      <c r="DS136" s="606"/>
      <c r="DT136" s="606"/>
      <c r="DU136" s="606"/>
      <c r="DV136" s="606"/>
      <c r="DW136" s="606"/>
      <c r="DX136" s="606"/>
    </row>
    <row r="137" spans="1:128" ht="15.75" customHeight="1" thickBot="1" x14ac:dyDescent="0.3">
      <c r="A137" s="1"/>
      <c r="B137" s="15"/>
      <c r="C137" s="961"/>
      <c r="D137" s="962"/>
      <c r="E137" s="515" t="s">
        <v>349</v>
      </c>
      <c r="F137" s="632" t="s">
        <v>367</v>
      </c>
      <c r="G137" s="1089" t="s">
        <v>368</v>
      </c>
      <c r="H137" s="1090"/>
      <c r="I137" s="53"/>
      <c r="J137" s="14"/>
      <c r="K137" s="325"/>
      <c r="L137" s="376"/>
      <c r="M137" s="393"/>
      <c r="N137" s="333"/>
      <c r="O137" s="1044"/>
      <c r="P137" s="1049"/>
      <c r="Q137" s="525" t="s">
        <v>75</v>
      </c>
      <c r="R137" s="526" t="s">
        <v>76</v>
      </c>
      <c r="S137" s="1051"/>
      <c r="T137" s="1051"/>
      <c r="U137" s="399"/>
      <c r="V137" s="315"/>
      <c r="W137" s="1"/>
      <c r="X137" s="470"/>
      <c r="Y137" s="470"/>
      <c r="Z137" s="470"/>
      <c r="AA137" s="470"/>
      <c r="AB137" s="470"/>
      <c r="AC137" s="470"/>
      <c r="AD137" s="470"/>
      <c r="AE137" s="470"/>
      <c r="AF137" s="470"/>
      <c r="AG137" s="470"/>
      <c r="AH137" s="470"/>
      <c r="AI137" s="470"/>
      <c r="AJ137" s="470"/>
      <c r="AK137" s="470"/>
      <c r="AL137" s="470"/>
      <c r="AM137" s="470"/>
      <c r="AN137" s="470"/>
      <c r="AO137" s="470"/>
      <c r="AP137" s="470"/>
      <c r="AQ137" s="470"/>
      <c r="AR137" s="470"/>
      <c r="AS137" s="470"/>
      <c r="AT137" s="470"/>
      <c r="AU137" s="470"/>
      <c r="AV137" s="470"/>
      <c r="AW137" s="470"/>
      <c r="AX137" s="470"/>
      <c r="AY137" s="470"/>
      <c r="AZ137" s="470"/>
      <c r="BA137" s="470"/>
      <c r="BB137" s="470"/>
      <c r="BC137" s="470"/>
      <c r="BD137" s="470"/>
      <c r="BE137" s="470"/>
      <c r="BF137" s="470"/>
      <c r="BG137" s="470"/>
      <c r="BH137" s="470"/>
      <c r="BI137" s="470"/>
      <c r="BJ137" s="470"/>
      <c r="BK137" s="800"/>
      <c r="BL137" s="865"/>
      <c r="BM137" s="881"/>
      <c r="BN137" s="865"/>
      <c r="BO137" s="884"/>
      <c r="BP137" s="884"/>
      <c r="BQ137" s="884"/>
      <c r="BR137" s="884"/>
      <c r="BS137" s="884"/>
      <c r="BT137" s="884"/>
      <c r="BU137" s="865"/>
      <c r="BV137" s="865"/>
      <c r="BW137" s="865"/>
      <c r="BX137" s="865"/>
      <c r="BY137" s="865"/>
      <c r="BZ137" s="865"/>
      <c r="CA137" s="865"/>
      <c r="CB137" s="865"/>
      <c r="CC137" s="865"/>
      <c r="CD137" s="865"/>
      <c r="CE137" s="606"/>
      <c r="CF137" s="606"/>
      <c r="CG137" s="606"/>
      <c r="CH137" s="606"/>
      <c r="CI137" s="606"/>
      <c r="CJ137" s="606"/>
      <c r="CK137" s="606"/>
      <c r="CL137" s="606"/>
      <c r="CM137" s="606"/>
      <c r="CN137" s="606"/>
      <c r="CO137" s="606"/>
      <c r="CP137" s="606"/>
      <c r="CQ137" s="606"/>
      <c r="CR137" s="606"/>
      <c r="CS137" s="606"/>
      <c r="CT137" s="606"/>
      <c r="CU137" s="606"/>
      <c r="CV137" s="606"/>
      <c r="CW137" s="606"/>
      <c r="CX137" s="606"/>
      <c r="CY137" s="606"/>
      <c r="CZ137" s="606"/>
      <c r="DA137" s="606"/>
      <c r="DB137" s="606"/>
      <c r="DC137" s="606"/>
      <c r="DD137" s="606"/>
      <c r="DE137" s="606"/>
      <c r="DF137" s="606"/>
      <c r="DG137" s="606"/>
      <c r="DH137" s="606"/>
      <c r="DI137" s="606"/>
      <c r="DJ137" s="606"/>
      <c r="DK137" s="606"/>
      <c r="DL137" s="606"/>
      <c r="DM137" s="606"/>
      <c r="DN137" s="606"/>
      <c r="DO137" s="606"/>
      <c r="DP137" s="606"/>
      <c r="DQ137" s="606"/>
      <c r="DR137" s="606"/>
      <c r="DS137" s="606"/>
      <c r="DT137" s="606"/>
      <c r="DU137" s="606"/>
      <c r="DV137" s="606"/>
      <c r="DW137" s="606"/>
      <c r="DX137" s="606"/>
    </row>
    <row r="138" spans="1:128" ht="15.75" customHeight="1" thickBot="1" x14ac:dyDescent="0.3">
      <c r="A138" s="1"/>
      <c r="B138" s="15"/>
      <c r="C138" s="969" t="s">
        <v>315</v>
      </c>
      <c r="D138" s="970"/>
      <c r="E138" s="727">
        <v>1.17</v>
      </c>
      <c r="F138" s="633">
        <v>1</v>
      </c>
      <c r="G138" s="990">
        <v>0.92</v>
      </c>
      <c r="H138" s="991"/>
      <c r="I138" s="53"/>
      <c r="J138" s="14"/>
      <c r="K138" s="325"/>
      <c r="L138" s="376"/>
      <c r="M138" s="393"/>
      <c r="N138" s="333"/>
      <c r="O138" s="81" t="s">
        <v>91</v>
      </c>
      <c r="P138" s="436"/>
      <c r="Q138" s="91" t="s">
        <v>92</v>
      </c>
      <c r="R138" s="65" t="s">
        <v>92</v>
      </c>
      <c r="S138" s="66">
        <f>IF($R$126="cilíndrico",S130,"----")</f>
        <v>1.5</v>
      </c>
      <c r="T138" s="437" t="str">
        <f>IF($R$126="cilíndrico","----","----")</f>
        <v>----</v>
      </c>
      <c r="U138" s="399"/>
      <c r="V138" s="315"/>
      <c r="W138" s="1"/>
      <c r="X138" s="470"/>
      <c r="Y138" s="470"/>
      <c r="Z138" s="470"/>
      <c r="AA138" s="470"/>
      <c r="AB138" s="470"/>
      <c r="AC138" s="470"/>
      <c r="AD138" s="470"/>
      <c r="AE138" s="470"/>
      <c r="AF138" s="470"/>
      <c r="AG138" s="470"/>
      <c r="AH138" s="470"/>
      <c r="AI138" s="470"/>
      <c r="AJ138" s="470"/>
      <c r="AK138" s="470"/>
      <c r="AL138" s="470"/>
      <c r="AM138" s="470"/>
      <c r="AN138" s="470"/>
      <c r="AO138" s="470"/>
      <c r="AP138" s="470"/>
      <c r="AQ138" s="470"/>
      <c r="AR138" s="470"/>
      <c r="AS138" s="470"/>
      <c r="AT138" s="470"/>
      <c r="AU138" s="470"/>
      <c r="AV138" s="470"/>
      <c r="AW138" s="470"/>
      <c r="AX138" s="470"/>
      <c r="AY138" s="470"/>
      <c r="AZ138" s="470"/>
      <c r="BA138" s="470"/>
      <c r="BB138" s="470"/>
      <c r="BC138" s="470"/>
      <c r="BD138" s="470"/>
      <c r="BE138" s="470"/>
      <c r="BF138" s="470"/>
      <c r="BG138" s="470"/>
      <c r="BH138" s="470"/>
      <c r="BI138" s="470"/>
      <c r="BJ138" s="470"/>
      <c r="BK138" s="800"/>
      <c r="BL138" s="865" t="str">
        <f>IF(P139="sumidouro",IF(OR(BL136="&lt; 1,50m",BL136="Não Informado"),"Não atende","Atende"),IF(OR(BL136="&lt; 1,50m",BL136="Não Informado"),"Não atende","Atende"))</f>
        <v>Atende</v>
      </c>
      <c r="BM138" s="865"/>
      <c r="BN138" s="865"/>
      <c r="BO138" s="884"/>
      <c r="BP138" s="884"/>
      <c r="BQ138" s="884"/>
      <c r="BR138" s="884"/>
      <c r="BS138" s="884"/>
      <c r="BT138" s="884"/>
      <c r="BU138" s="865"/>
      <c r="BV138" s="865"/>
      <c r="BW138" s="865"/>
      <c r="BX138" s="865"/>
      <c r="BY138" s="865"/>
      <c r="BZ138" s="865"/>
      <c r="CA138" s="865"/>
      <c r="CB138" s="865"/>
      <c r="CC138" s="865"/>
      <c r="CD138" s="865"/>
      <c r="CE138" s="606"/>
      <c r="CF138" s="606"/>
      <c r="CG138" s="606"/>
      <c r="CH138" s="606"/>
      <c r="CI138" s="606"/>
      <c r="CJ138" s="606"/>
      <c r="CK138" s="606"/>
      <c r="CL138" s="606"/>
      <c r="CM138" s="606"/>
      <c r="CN138" s="606"/>
      <c r="CO138" s="606"/>
      <c r="CP138" s="606"/>
      <c r="CQ138" s="606"/>
      <c r="CR138" s="606"/>
      <c r="CS138" s="606"/>
      <c r="CT138" s="606"/>
      <c r="CU138" s="606"/>
      <c r="CV138" s="606"/>
      <c r="CW138" s="606"/>
      <c r="CX138" s="606"/>
      <c r="CY138" s="606"/>
      <c r="CZ138" s="606"/>
      <c r="DA138" s="606"/>
      <c r="DB138" s="606"/>
      <c r="DC138" s="606"/>
      <c r="DD138" s="606"/>
      <c r="DE138" s="606"/>
      <c r="DF138" s="606"/>
      <c r="DG138" s="606"/>
      <c r="DH138" s="606"/>
      <c r="DI138" s="606"/>
      <c r="DJ138" s="606"/>
      <c r="DK138" s="606"/>
      <c r="DL138" s="606"/>
      <c r="DM138" s="606"/>
      <c r="DN138" s="606"/>
      <c r="DO138" s="606"/>
      <c r="DP138" s="606"/>
      <c r="DQ138" s="606"/>
      <c r="DR138" s="606"/>
      <c r="DS138" s="606"/>
      <c r="DT138" s="606"/>
      <c r="DU138" s="606"/>
      <c r="DV138" s="606"/>
      <c r="DW138" s="606"/>
      <c r="DX138" s="606"/>
    </row>
    <row r="139" spans="1:128" ht="15.75" customHeight="1" thickBot="1" x14ac:dyDescent="0.35">
      <c r="A139" s="1"/>
      <c r="B139" s="15"/>
      <c r="C139" s="971" t="s">
        <v>316</v>
      </c>
      <c r="D139" s="972"/>
      <c r="E139" s="728">
        <v>1.08</v>
      </c>
      <c r="F139" s="634">
        <v>0.92</v>
      </c>
      <c r="G139" s="990">
        <v>0.83</v>
      </c>
      <c r="H139" s="991"/>
      <c r="I139" s="53"/>
      <c r="J139" s="14"/>
      <c r="K139" s="325"/>
      <c r="L139" s="376"/>
      <c r="M139" s="393"/>
      <c r="N139" s="394"/>
      <c r="O139" s="438" t="s">
        <v>93</v>
      </c>
      <c r="P139" s="439"/>
      <c r="Q139" s="75" t="s">
        <v>92</v>
      </c>
      <c r="R139" s="70" t="s">
        <v>92</v>
      </c>
      <c r="S139" s="71" t="str">
        <f>IF($R$126="prismático",S133,"----")</f>
        <v>----</v>
      </c>
      <c r="T139" s="437" t="str">
        <f>IF($R$126="cilíndrico","----","----")</f>
        <v>----</v>
      </c>
      <c r="U139" s="399"/>
      <c r="V139" s="315"/>
      <c r="W139" s="1"/>
      <c r="X139" s="470"/>
      <c r="Y139" s="470"/>
      <c r="Z139" s="470"/>
      <c r="AA139" s="470"/>
      <c r="AB139" s="470"/>
      <c r="AC139" s="470"/>
      <c r="AD139" s="470"/>
      <c r="AE139" s="470"/>
      <c r="AF139" s="470"/>
      <c r="AG139" s="470"/>
      <c r="AH139" s="470"/>
      <c r="AI139" s="470"/>
      <c r="AJ139" s="470"/>
      <c r="AK139" s="470"/>
      <c r="AL139" s="470"/>
      <c r="AM139" s="470"/>
      <c r="AN139" s="470"/>
      <c r="AO139" s="470"/>
      <c r="AP139" s="470"/>
      <c r="AQ139" s="470"/>
      <c r="AR139" s="470"/>
      <c r="AS139" s="470"/>
      <c r="AT139" s="470"/>
      <c r="AU139" s="470"/>
      <c r="AV139" s="470"/>
      <c r="AW139" s="470"/>
      <c r="AX139" s="470"/>
      <c r="AY139" s="470"/>
      <c r="AZ139" s="470"/>
      <c r="BA139" s="470"/>
      <c r="BB139" s="470"/>
      <c r="BC139" s="470"/>
      <c r="BD139" s="470"/>
      <c r="BE139" s="470"/>
      <c r="BF139" s="470"/>
      <c r="BG139" s="470"/>
      <c r="BH139" s="470"/>
      <c r="BI139" s="470"/>
      <c r="BJ139" s="470"/>
      <c r="BK139" s="800"/>
      <c r="BL139" s="865"/>
      <c r="BM139" s="865"/>
      <c r="BN139" s="865"/>
      <c r="BO139" s="884"/>
      <c r="BP139" s="884"/>
      <c r="BQ139" s="884"/>
      <c r="BR139" s="884"/>
      <c r="BS139" s="884"/>
      <c r="BT139" s="884"/>
      <c r="BU139" s="865"/>
      <c r="BV139" s="865"/>
      <c r="BW139" s="865"/>
      <c r="BX139" s="865"/>
      <c r="BY139" s="865"/>
      <c r="BZ139" s="865"/>
      <c r="CA139" s="865"/>
      <c r="CB139" s="865"/>
      <c r="CC139" s="865"/>
      <c r="CD139" s="865"/>
      <c r="CE139" s="606"/>
      <c r="CF139" s="606"/>
      <c r="CG139" s="606"/>
      <c r="CH139" s="606"/>
      <c r="CI139" s="606"/>
      <c r="CJ139" s="606"/>
      <c r="CK139" s="606"/>
      <c r="CL139" s="606"/>
      <c r="CM139" s="606"/>
      <c r="CN139" s="606"/>
      <c r="CO139" s="606"/>
      <c r="CP139" s="606"/>
      <c r="CQ139" s="606"/>
      <c r="CR139" s="606"/>
      <c r="CS139" s="606"/>
      <c r="CT139" s="606"/>
      <c r="CU139" s="606"/>
      <c r="CV139" s="606"/>
      <c r="CW139" s="606"/>
      <c r="CX139" s="606"/>
      <c r="CY139" s="606"/>
      <c r="CZ139" s="606"/>
      <c r="DA139" s="606"/>
      <c r="DB139" s="606"/>
      <c r="DC139" s="606"/>
      <c r="DD139" s="606"/>
      <c r="DE139" s="606"/>
      <c r="DF139" s="606"/>
      <c r="DG139" s="606"/>
      <c r="DH139" s="606"/>
      <c r="DI139" s="606"/>
      <c r="DJ139" s="606"/>
      <c r="DK139" s="606"/>
      <c r="DL139" s="606"/>
      <c r="DM139" s="606"/>
      <c r="DN139" s="606"/>
      <c r="DO139" s="606"/>
      <c r="DP139" s="606"/>
      <c r="DQ139" s="606"/>
      <c r="DR139" s="606"/>
      <c r="DS139" s="606"/>
      <c r="DT139" s="606"/>
      <c r="DU139" s="606"/>
      <c r="DV139" s="606"/>
      <c r="DW139" s="606"/>
      <c r="DX139" s="606"/>
    </row>
    <row r="140" spans="1:128" ht="15.75" customHeight="1" thickBot="1" x14ac:dyDescent="0.3">
      <c r="A140" s="1"/>
      <c r="B140" s="15"/>
      <c r="C140" s="971" t="s">
        <v>391</v>
      </c>
      <c r="D140" s="972"/>
      <c r="E140" s="728">
        <v>1</v>
      </c>
      <c r="F140" s="634">
        <v>0.83</v>
      </c>
      <c r="G140" s="990">
        <v>0.75</v>
      </c>
      <c r="H140" s="991"/>
      <c r="I140" s="53"/>
      <c r="J140" s="14"/>
      <c r="K140" s="325"/>
      <c r="L140" s="376"/>
      <c r="M140" s="333"/>
      <c r="N140" s="333"/>
      <c r="O140" s="81" t="s">
        <v>94</v>
      </c>
      <c r="P140" s="436"/>
      <c r="Q140" s="91">
        <v>1.2</v>
      </c>
      <c r="R140" s="101" t="s">
        <v>92</v>
      </c>
      <c r="S140" s="66">
        <f>IF($R$126="cilíndrico",R130,R133)</f>
        <v>1.2</v>
      </c>
      <c r="T140" s="437" t="str">
        <f>IF(S140&gt;=Q140,"Atende","Não atende")</f>
        <v>Atende</v>
      </c>
      <c r="U140" s="398"/>
      <c r="V140" s="315"/>
      <c r="W140" s="1"/>
      <c r="X140" s="470"/>
      <c r="Y140" s="470"/>
      <c r="Z140" s="470"/>
      <c r="AA140" s="470"/>
      <c r="AB140" s="470"/>
      <c r="AC140" s="470"/>
      <c r="AD140" s="470"/>
      <c r="AE140" s="470"/>
      <c r="AF140" s="470"/>
      <c r="AG140" s="470"/>
      <c r="AH140" s="470"/>
      <c r="AI140" s="470"/>
      <c r="AJ140" s="470"/>
      <c r="AK140" s="470"/>
      <c r="AL140" s="470"/>
      <c r="AM140" s="470"/>
      <c r="AN140" s="470"/>
      <c r="AO140" s="470"/>
      <c r="AP140" s="470"/>
      <c r="AQ140" s="470"/>
      <c r="AR140" s="470"/>
      <c r="AS140" s="470"/>
      <c r="AT140" s="470"/>
      <c r="AU140" s="470"/>
      <c r="AV140" s="470"/>
      <c r="AW140" s="470"/>
      <c r="AX140" s="470"/>
      <c r="AY140" s="470"/>
      <c r="AZ140" s="470"/>
      <c r="BA140" s="470"/>
      <c r="BB140" s="470"/>
      <c r="BC140" s="470"/>
      <c r="BD140" s="470"/>
      <c r="BE140" s="470"/>
      <c r="BF140" s="470"/>
      <c r="BG140" s="470"/>
      <c r="BH140" s="470"/>
      <c r="BI140" s="470"/>
      <c r="BJ140" s="470"/>
      <c r="BK140" s="800"/>
      <c r="BL140" s="822"/>
      <c r="BM140" s="865"/>
      <c r="BN140" s="865"/>
      <c r="BO140" s="884"/>
      <c r="BP140" s="884"/>
      <c r="BQ140" s="884"/>
      <c r="BR140" s="884"/>
      <c r="BS140" s="884"/>
      <c r="BT140" s="884"/>
      <c r="BU140" s="865"/>
      <c r="BV140" s="865"/>
      <c r="BW140" s="865"/>
      <c r="BX140" s="865"/>
      <c r="BY140" s="865"/>
      <c r="BZ140" s="865"/>
      <c r="CA140" s="865"/>
      <c r="CB140" s="865"/>
      <c r="CC140" s="865"/>
      <c r="CD140" s="865"/>
      <c r="CE140" s="606"/>
      <c r="CF140" s="606"/>
      <c r="CG140" s="606"/>
      <c r="CH140" s="606"/>
      <c r="CI140" s="606"/>
      <c r="CJ140" s="606"/>
      <c r="CK140" s="606"/>
      <c r="CL140" s="606"/>
      <c r="CM140" s="606"/>
      <c r="CN140" s="606"/>
      <c r="CO140" s="606"/>
      <c r="CP140" s="606"/>
      <c r="CQ140" s="606"/>
      <c r="CR140" s="606"/>
      <c r="CS140" s="606"/>
      <c r="CT140" s="606"/>
      <c r="CU140" s="606"/>
      <c r="CV140" s="606"/>
      <c r="CW140" s="606"/>
      <c r="CX140" s="606"/>
      <c r="CY140" s="606"/>
      <c r="CZ140" s="606"/>
      <c r="DA140" s="606"/>
      <c r="DB140" s="606"/>
      <c r="DC140" s="606"/>
      <c r="DD140" s="606"/>
      <c r="DE140" s="606"/>
      <c r="DF140" s="606"/>
      <c r="DG140" s="606"/>
      <c r="DH140" s="606"/>
      <c r="DI140" s="606"/>
      <c r="DJ140" s="606"/>
      <c r="DK140" s="606"/>
      <c r="DL140" s="606"/>
      <c r="DM140" s="606"/>
      <c r="DN140" s="606"/>
      <c r="DO140" s="606"/>
      <c r="DP140" s="606"/>
      <c r="DQ140" s="606"/>
      <c r="DR140" s="606"/>
      <c r="DS140" s="606"/>
      <c r="DT140" s="606"/>
      <c r="DU140" s="606"/>
      <c r="DV140" s="606"/>
      <c r="DW140" s="606"/>
      <c r="DX140" s="606"/>
    </row>
    <row r="141" spans="1:128" ht="15.75" customHeight="1" thickBot="1" x14ac:dyDescent="0.3">
      <c r="A141" s="1"/>
      <c r="B141" s="15"/>
      <c r="C141" s="971" t="s">
        <v>317</v>
      </c>
      <c r="D141" s="972"/>
      <c r="E141" s="728">
        <v>0.92</v>
      </c>
      <c r="F141" s="634">
        <v>0.75</v>
      </c>
      <c r="G141" s="990">
        <v>0.67</v>
      </c>
      <c r="H141" s="991"/>
      <c r="I141" s="53"/>
      <c r="J141" s="14"/>
      <c r="K141" s="325"/>
      <c r="L141" s="376"/>
      <c r="M141" s="26"/>
      <c r="N141" s="56"/>
      <c r="O141" s="438" t="s">
        <v>96</v>
      </c>
      <c r="P141" s="439"/>
      <c r="Q141" s="75" t="s">
        <v>92</v>
      </c>
      <c r="R141" s="76" t="s">
        <v>92</v>
      </c>
      <c r="S141" s="71" t="str">
        <f>IF($R$126="prismático",T133,"----")</f>
        <v>----</v>
      </c>
      <c r="T141" s="440" t="str">
        <f>IF($Q$126="cilíndrico","----","----")</f>
        <v>----</v>
      </c>
      <c r="U141" s="594"/>
      <c r="V141" s="315"/>
      <c r="W141" s="1"/>
      <c r="X141" s="470"/>
      <c r="Y141" s="470"/>
      <c r="Z141" s="470"/>
      <c r="AA141" s="470"/>
      <c r="AB141" s="470"/>
      <c r="AC141" s="470"/>
      <c r="AD141" s="470"/>
      <c r="AE141" s="470"/>
      <c r="AF141" s="470"/>
      <c r="AG141" s="470"/>
      <c r="AH141" s="470"/>
      <c r="AI141" s="470"/>
      <c r="AJ141" s="470"/>
      <c r="AK141" s="470"/>
      <c r="AL141" s="470"/>
      <c r="AM141" s="470"/>
      <c r="AN141" s="470"/>
      <c r="AO141" s="470"/>
      <c r="AP141" s="470"/>
      <c r="AQ141" s="470"/>
      <c r="AR141" s="470"/>
      <c r="AS141" s="470"/>
      <c r="AT141" s="470"/>
      <c r="AU141" s="470"/>
      <c r="AV141" s="470"/>
      <c r="AW141" s="470"/>
      <c r="AX141" s="470"/>
      <c r="AY141" s="470"/>
      <c r="AZ141" s="470"/>
      <c r="BA141" s="470"/>
      <c r="BB141" s="470"/>
      <c r="BC141" s="470"/>
      <c r="BD141" s="470"/>
      <c r="BE141" s="470"/>
      <c r="BF141" s="470"/>
      <c r="BG141" s="470"/>
      <c r="BH141" s="470"/>
      <c r="BI141" s="470"/>
      <c r="BJ141" s="470"/>
      <c r="BK141" s="800"/>
      <c r="BL141" s="822"/>
      <c r="BM141" s="865"/>
      <c r="BN141" s="865"/>
      <c r="BO141" s="884"/>
      <c r="BP141" s="884"/>
      <c r="BQ141" s="884"/>
      <c r="BR141" s="884"/>
      <c r="BS141" s="884"/>
      <c r="BT141" s="884"/>
      <c r="BU141" s="865"/>
      <c r="BV141" s="865"/>
      <c r="BW141" s="865"/>
      <c r="BX141" s="865"/>
      <c r="BY141" s="865"/>
      <c r="BZ141" s="865"/>
      <c r="CA141" s="865"/>
      <c r="CB141" s="865"/>
      <c r="CC141" s="865"/>
      <c r="CD141" s="865"/>
      <c r="CE141" s="606"/>
      <c r="CF141" s="606"/>
      <c r="CG141" s="606"/>
      <c r="CH141" s="606"/>
      <c r="CI141" s="606"/>
      <c r="CJ141" s="606"/>
      <c r="CK141" s="606"/>
      <c r="CL141" s="606"/>
      <c r="CM141" s="606"/>
      <c r="CN141" s="606"/>
      <c r="CO141" s="606"/>
      <c r="CP141" s="606"/>
      <c r="CQ141" s="606"/>
      <c r="CR141" s="606"/>
      <c r="CS141" s="606"/>
      <c r="CT141" s="606"/>
      <c r="CU141" s="606"/>
      <c r="CV141" s="606"/>
      <c r="CW141" s="606"/>
      <c r="CX141" s="606"/>
      <c r="CY141" s="606"/>
      <c r="CZ141" s="606"/>
      <c r="DA141" s="606"/>
      <c r="DB141" s="606"/>
      <c r="DC141" s="606"/>
      <c r="DD141" s="606"/>
      <c r="DE141" s="606"/>
      <c r="DF141" s="606"/>
      <c r="DG141" s="606"/>
      <c r="DH141" s="606"/>
      <c r="DI141" s="606"/>
      <c r="DJ141" s="606"/>
      <c r="DK141" s="606"/>
      <c r="DL141" s="606"/>
      <c r="DM141" s="606"/>
      <c r="DN141" s="606"/>
      <c r="DO141" s="606"/>
      <c r="DP141" s="606"/>
      <c r="DQ141" s="606"/>
      <c r="DR141" s="606"/>
      <c r="DS141" s="606"/>
      <c r="DT141" s="606"/>
      <c r="DU141" s="606"/>
      <c r="DV141" s="606"/>
      <c r="DW141" s="606"/>
      <c r="DX141" s="606"/>
    </row>
    <row r="142" spans="1:128" ht="15.75" customHeight="1" thickBot="1" x14ac:dyDescent="0.3">
      <c r="A142" s="1"/>
      <c r="B142" s="15"/>
      <c r="C142" s="971" t="s">
        <v>318</v>
      </c>
      <c r="D142" s="972"/>
      <c r="E142" s="728">
        <v>0.83</v>
      </c>
      <c r="F142" s="634">
        <v>0.67</v>
      </c>
      <c r="G142" s="990">
        <v>0.57999999999999996</v>
      </c>
      <c r="H142" s="991"/>
      <c r="I142" s="53"/>
      <c r="J142" s="14"/>
      <c r="K142" s="325"/>
      <c r="L142" s="376"/>
      <c r="M142" s="393"/>
      <c r="N142" s="333"/>
      <c r="O142" s="81" t="s">
        <v>98</v>
      </c>
      <c r="P142" s="82"/>
      <c r="Q142" s="689">
        <f>IF(BR91&lt;1000,1000,BR91)</f>
        <v>1280</v>
      </c>
      <c r="R142" s="76" t="s">
        <v>92</v>
      </c>
      <c r="S142" s="83">
        <f>IF(R126="cilíndrico",T130,U133)</f>
        <v>2120.58</v>
      </c>
      <c r="T142" s="437" t="str">
        <f>IF(S142&gt;1000,IF(S142&gt;=Q142,"Atende","Não atende"),"Não atende")</f>
        <v>Atende</v>
      </c>
      <c r="U142" s="399"/>
      <c r="V142" s="315"/>
      <c r="W142" s="1"/>
      <c r="X142" s="470"/>
      <c r="Y142" s="470"/>
      <c r="Z142" s="470"/>
      <c r="AA142" s="470"/>
      <c r="AB142" s="470"/>
      <c r="AC142" s="470"/>
      <c r="AD142" s="470"/>
      <c r="AE142" s="470"/>
      <c r="AF142" s="470"/>
      <c r="AG142" s="470"/>
      <c r="AH142" s="470"/>
      <c r="AI142" s="470"/>
      <c r="AJ142" s="470"/>
      <c r="AK142" s="470"/>
      <c r="AL142" s="470"/>
      <c r="AM142" s="470"/>
      <c r="AN142" s="470"/>
      <c r="AO142" s="470"/>
      <c r="AP142" s="470"/>
      <c r="AQ142" s="470"/>
      <c r="AR142" s="470"/>
      <c r="AS142" s="470"/>
      <c r="AT142" s="470"/>
      <c r="AU142" s="470"/>
      <c r="AV142" s="470"/>
      <c r="AW142" s="470"/>
      <c r="AX142" s="470"/>
      <c r="AY142" s="470"/>
      <c r="AZ142" s="470"/>
      <c r="BA142" s="470"/>
      <c r="BB142" s="470"/>
      <c r="BC142" s="470"/>
      <c r="BD142" s="470"/>
      <c r="BE142" s="470"/>
      <c r="BF142" s="470"/>
      <c r="BG142" s="470"/>
      <c r="BH142" s="470"/>
      <c r="BI142" s="470"/>
      <c r="BJ142" s="470"/>
      <c r="BK142" s="800"/>
      <c r="BL142" s="865"/>
      <c r="BM142" s="865"/>
      <c r="BN142" s="865"/>
      <c r="BO142" s="857"/>
      <c r="BP142" s="884"/>
      <c r="BQ142" s="884"/>
      <c r="BR142" s="884"/>
      <c r="BS142" s="857"/>
      <c r="BT142" s="857"/>
      <c r="BU142" s="857"/>
      <c r="BV142" s="865"/>
      <c r="BW142" s="865"/>
      <c r="BX142" s="865"/>
      <c r="BY142" s="865"/>
      <c r="BZ142" s="865"/>
      <c r="CA142" s="865"/>
      <c r="CB142" s="865"/>
      <c r="CC142" s="865"/>
      <c r="CD142" s="865"/>
      <c r="CE142" s="606"/>
      <c r="CF142" s="606"/>
      <c r="CG142" s="606"/>
      <c r="CH142" s="606"/>
      <c r="CI142" s="606"/>
      <c r="CJ142" s="606"/>
      <c r="CK142" s="606"/>
      <c r="CL142" s="606"/>
      <c r="CM142" s="606"/>
      <c r="CN142" s="606"/>
      <c r="CO142" s="606"/>
      <c r="CP142" s="606"/>
      <c r="CQ142" s="606"/>
      <c r="CR142" s="606"/>
      <c r="CS142" s="606"/>
      <c r="CT142" s="606"/>
      <c r="CU142" s="606"/>
      <c r="CV142" s="606"/>
      <c r="CW142" s="606"/>
      <c r="CX142" s="606"/>
      <c r="CY142" s="606"/>
      <c r="CZ142" s="606"/>
      <c r="DA142" s="606"/>
      <c r="DB142" s="606"/>
      <c r="DC142" s="606"/>
      <c r="DD142" s="606"/>
      <c r="DE142" s="606"/>
      <c r="DF142" s="606"/>
      <c r="DG142" s="606"/>
      <c r="DH142" s="606"/>
      <c r="DI142" s="606"/>
      <c r="DJ142" s="606"/>
      <c r="DK142" s="606"/>
      <c r="DL142" s="606"/>
      <c r="DM142" s="606"/>
      <c r="DN142" s="606"/>
      <c r="DO142" s="606"/>
      <c r="DP142" s="606"/>
      <c r="DQ142" s="606"/>
      <c r="DR142" s="606"/>
      <c r="DS142" s="606"/>
      <c r="DT142" s="606"/>
      <c r="DU142" s="606"/>
      <c r="DV142" s="606"/>
      <c r="DW142" s="606"/>
      <c r="DX142" s="606"/>
    </row>
    <row r="143" spans="1:128" ht="15.75" customHeight="1" x14ac:dyDescent="0.25">
      <c r="A143" s="1"/>
      <c r="B143" s="15"/>
      <c r="C143" s="971" t="s">
        <v>319</v>
      </c>
      <c r="D143" s="972"/>
      <c r="E143" s="728">
        <v>0.75</v>
      </c>
      <c r="F143" s="634">
        <v>0.57999999999999996</v>
      </c>
      <c r="G143" s="990">
        <v>0.5</v>
      </c>
      <c r="H143" s="991"/>
      <c r="I143" s="53"/>
      <c r="J143" s="14"/>
      <c r="K143" s="325"/>
      <c r="L143" s="376"/>
      <c r="M143" s="393"/>
      <c r="N143" s="333"/>
      <c r="O143" s="496"/>
      <c r="P143" s="496"/>
      <c r="Q143" s="497"/>
      <c r="R143" s="498"/>
      <c r="S143" s="298"/>
      <c r="T143" s="447"/>
      <c r="U143" s="399"/>
      <c r="V143" s="315"/>
      <c r="W143" s="1"/>
      <c r="X143" s="470"/>
      <c r="Y143" s="470"/>
      <c r="Z143" s="470"/>
      <c r="AA143" s="470"/>
      <c r="AB143" s="470"/>
      <c r="AC143" s="470"/>
      <c r="AD143" s="470"/>
      <c r="AE143" s="470"/>
      <c r="AF143" s="470"/>
      <c r="AG143" s="470"/>
      <c r="AH143" s="470"/>
      <c r="AI143" s="470"/>
      <c r="AJ143" s="470"/>
      <c r="AK143" s="470"/>
      <c r="AL143" s="470"/>
      <c r="AM143" s="470"/>
      <c r="AN143" s="470"/>
      <c r="AO143" s="470"/>
      <c r="AP143" s="470"/>
      <c r="AQ143" s="470"/>
      <c r="AR143" s="470"/>
      <c r="AS143" s="470"/>
      <c r="AT143" s="470"/>
      <c r="AU143" s="470"/>
      <c r="AV143" s="470"/>
      <c r="AW143" s="470"/>
      <c r="AX143" s="470"/>
      <c r="AY143" s="470"/>
      <c r="AZ143" s="470"/>
      <c r="BA143" s="470"/>
      <c r="BB143" s="470"/>
      <c r="BC143" s="470"/>
      <c r="BD143" s="470"/>
      <c r="BE143" s="470"/>
      <c r="BF143" s="470"/>
      <c r="BG143" s="470"/>
      <c r="BH143" s="470"/>
      <c r="BI143" s="470"/>
      <c r="BJ143" s="470"/>
      <c r="BK143" s="800"/>
      <c r="BL143" s="865"/>
      <c r="BM143" s="865"/>
      <c r="BN143" s="865"/>
      <c r="BO143" s="857"/>
      <c r="BP143" s="857"/>
      <c r="BQ143" s="857"/>
      <c r="BR143" s="857"/>
      <c r="BS143" s="857"/>
      <c r="BT143" s="857"/>
      <c r="BU143" s="857"/>
      <c r="BV143" s="865"/>
      <c r="BW143" s="865"/>
      <c r="BX143" s="865"/>
      <c r="BY143" s="865"/>
      <c r="BZ143" s="865"/>
      <c r="CA143" s="865"/>
      <c r="CB143" s="865"/>
      <c r="CC143" s="865"/>
      <c r="CD143" s="865"/>
      <c r="CE143" s="606"/>
      <c r="CF143" s="606"/>
      <c r="CG143" s="606"/>
      <c r="CH143" s="606"/>
      <c r="CI143" s="606"/>
      <c r="CJ143" s="606"/>
      <c r="CK143" s="606"/>
      <c r="CL143" s="606"/>
      <c r="CM143" s="606"/>
      <c r="CN143" s="606"/>
      <c r="CO143" s="606"/>
      <c r="CP143" s="606"/>
      <c r="CQ143" s="606"/>
      <c r="CR143" s="606"/>
      <c r="CS143" s="606"/>
      <c r="CT143" s="606"/>
      <c r="CU143" s="606"/>
      <c r="CV143" s="606"/>
      <c r="CW143" s="606"/>
      <c r="CX143" s="606"/>
      <c r="CY143" s="606"/>
      <c r="CZ143" s="606"/>
      <c r="DA143" s="606"/>
      <c r="DB143" s="606"/>
      <c r="DC143" s="606"/>
      <c r="DD143" s="606"/>
      <c r="DE143" s="606"/>
      <c r="DF143" s="606"/>
      <c r="DG143" s="606"/>
      <c r="DH143" s="606"/>
      <c r="DI143" s="606"/>
      <c r="DJ143" s="606"/>
      <c r="DK143" s="606"/>
      <c r="DL143" s="606"/>
      <c r="DM143" s="606"/>
      <c r="DN143" s="606"/>
      <c r="DO143" s="606"/>
      <c r="DP143" s="606"/>
      <c r="DQ143" s="606"/>
      <c r="DR143" s="606"/>
      <c r="DS143" s="606"/>
      <c r="DT143" s="606"/>
      <c r="DU143" s="606"/>
      <c r="DV143" s="606"/>
      <c r="DW143" s="606"/>
      <c r="DX143" s="606"/>
    </row>
    <row r="144" spans="1:128" ht="19.5" customHeight="1" thickBot="1" x14ac:dyDescent="0.3">
      <c r="A144" s="1"/>
      <c r="B144" s="15"/>
      <c r="C144" s="967" t="s">
        <v>320</v>
      </c>
      <c r="D144" s="968"/>
      <c r="E144" s="729">
        <v>0.75</v>
      </c>
      <c r="F144" s="726">
        <v>0.5</v>
      </c>
      <c r="G144" s="1091">
        <v>0.5</v>
      </c>
      <c r="H144" s="1092"/>
      <c r="I144" s="53"/>
      <c r="J144" s="14"/>
      <c r="K144" s="325"/>
      <c r="L144" s="376"/>
      <c r="M144" s="393"/>
      <c r="N144" s="333"/>
      <c r="O144" s="296" t="s">
        <v>346</v>
      </c>
      <c r="P144" s="496"/>
      <c r="Q144" s="497"/>
      <c r="R144" s="498"/>
      <c r="S144" s="298"/>
      <c r="T144" s="447"/>
      <c r="U144" s="399"/>
      <c r="V144" s="315"/>
      <c r="W144" s="1"/>
      <c r="X144" s="470"/>
      <c r="Y144" s="470"/>
      <c r="Z144" s="470"/>
      <c r="AA144" s="470"/>
      <c r="AB144" s="470"/>
      <c r="AC144" s="470"/>
      <c r="AD144" s="470"/>
      <c r="AE144" s="470"/>
      <c r="AF144" s="470"/>
      <c r="AG144" s="470"/>
      <c r="AH144" s="470"/>
      <c r="AI144" s="470"/>
      <c r="AJ144" s="470"/>
      <c r="AK144" s="470"/>
      <c r="AL144" s="470"/>
      <c r="AM144" s="470"/>
      <c r="AN144" s="470"/>
      <c r="AO144" s="470"/>
      <c r="AP144" s="470"/>
      <c r="AQ144" s="470"/>
      <c r="AR144" s="470"/>
      <c r="AS144" s="470"/>
      <c r="AT144" s="470"/>
      <c r="AU144" s="470"/>
      <c r="AV144" s="470"/>
      <c r="AW144" s="470"/>
      <c r="AX144" s="470"/>
      <c r="AY144" s="470"/>
      <c r="AZ144" s="470"/>
      <c r="BA144" s="470"/>
      <c r="BB144" s="470"/>
      <c r="BC144" s="470"/>
      <c r="BD144" s="470"/>
      <c r="BE144" s="470"/>
      <c r="BF144" s="470"/>
      <c r="BG144" s="470"/>
      <c r="BH144" s="470"/>
      <c r="BI144" s="470"/>
      <c r="BJ144" s="470"/>
      <c r="BK144" s="800"/>
      <c r="BL144" s="865"/>
      <c r="BM144" s="865"/>
      <c r="BN144" s="865"/>
      <c r="BO144" s="857"/>
      <c r="BP144" s="857"/>
      <c r="BQ144" s="857"/>
      <c r="BR144" s="857"/>
      <c r="BS144" s="857"/>
      <c r="BT144" s="857"/>
      <c r="BU144" s="857"/>
      <c r="BV144" s="865"/>
      <c r="BW144" s="865"/>
      <c r="BX144" s="865"/>
      <c r="BY144" s="865"/>
      <c r="BZ144" s="865"/>
      <c r="CA144" s="865"/>
      <c r="CB144" s="865"/>
      <c r="CC144" s="865"/>
      <c r="CD144" s="865"/>
      <c r="CE144" s="606"/>
      <c r="CF144" s="606"/>
      <c r="CG144" s="606"/>
      <c r="CH144" s="606"/>
      <c r="CI144" s="606"/>
      <c r="CJ144" s="606"/>
      <c r="CK144" s="606"/>
      <c r="CL144" s="606"/>
      <c r="CM144" s="606"/>
      <c r="CN144" s="606"/>
      <c r="CO144" s="606"/>
      <c r="CP144" s="606"/>
      <c r="CQ144" s="606"/>
      <c r="CR144" s="606"/>
      <c r="CS144" s="606"/>
      <c r="CT144" s="606"/>
      <c r="CU144" s="606"/>
      <c r="CV144" s="606"/>
      <c r="CW144" s="606"/>
      <c r="CX144" s="606"/>
      <c r="CY144" s="606"/>
      <c r="CZ144" s="606"/>
      <c r="DA144" s="606"/>
      <c r="DB144" s="606"/>
      <c r="DC144" s="606"/>
      <c r="DD144" s="606"/>
      <c r="DE144" s="606"/>
      <c r="DF144" s="606"/>
      <c r="DG144" s="606"/>
      <c r="DH144" s="606"/>
      <c r="DI144" s="606"/>
      <c r="DJ144" s="606"/>
      <c r="DK144" s="606"/>
      <c r="DL144" s="606"/>
      <c r="DM144" s="606"/>
      <c r="DN144" s="606"/>
      <c r="DO144" s="606"/>
      <c r="DP144" s="606"/>
      <c r="DQ144" s="606"/>
      <c r="DR144" s="606"/>
      <c r="DS144" s="606"/>
      <c r="DT144" s="606"/>
      <c r="DU144" s="606"/>
      <c r="DV144" s="606"/>
      <c r="DW144" s="606"/>
      <c r="DX144" s="606"/>
    </row>
    <row r="145" spans="1:128" ht="15.75" customHeight="1" x14ac:dyDescent="0.25">
      <c r="A145" s="1"/>
      <c r="B145" s="15"/>
      <c r="C145" s="514"/>
      <c r="D145" s="17"/>
      <c r="E145" s="17"/>
      <c r="F145" s="17"/>
      <c r="G145" s="52"/>
      <c r="H145" s="52"/>
      <c r="I145" s="53"/>
      <c r="J145" s="14"/>
      <c r="K145" s="325"/>
      <c r="L145" s="376"/>
      <c r="M145" s="393"/>
      <c r="N145" s="333"/>
      <c r="O145" s="447"/>
      <c r="P145" s="496"/>
      <c r="Q145" s="497"/>
      <c r="R145" s="498"/>
      <c r="S145" s="298"/>
      <c r="T145" s="447"/>
      <c r="U145" s="399"/>
      <c r="V145" s="315"/>
      <c r="W145" s="1"/>
      <c r="X145" s="470"/>
      <c r="Y145" s="470"/>
      <c r="Z145" s="470"/>
      <c r="AA145" s="470"/>
      <c r="AB145" s="470"/>
      <c r="AC145" s="470"/>
      <c r="AD145" s="470"/>
      <c r="AE145" s="470"/>
      <c r="AF145" s="470"/>
      <c r="AG145" s="470"/>
      <c r="AH145" s="470"/>
      <c r="AI145" s="470"/>
      <c r="AJ145" s="470"/>
      <c r="AK145" s="470"/>
      <c r="AL145" s="470"/>
      <c r="AM145" s="470"/>
      <c r="AN145" s="470"/>
      <c r="AO145" s="470"/>
      <c r="AP145" s="470"/>
      <c r="AQ145" s="470"/>
      <c r="AR145" s="470"/>
      <c r="AS145" s="470"/>
      <c r="AT145" s="470"/>
      <c r="AU145" s="470"/>
      <c r="AV145" s="470"/>
      <c r="AW145" s="470"/>
      <c r="AX145" s="470"/>
      <c r="AY145" s="470"/>
      <c r="AZ145" s="470"/>
      <c r="BA145" s="470"/>
      <c r="BB145" s="470"/>
      <c r="BC145" s="470"/>
      <c r="BD145" s="470"/>
      <c r="BE145" s="470"/>
      <c r="BF145" s="470"/>
      <c r="BG145" s="470"/>
      <c r="BH145" s="470"/>
      <c r="BI145" s="470"/>
      <c r="BJ145" s="470"/>
      <c r="BK145" s="800"/>
      <c r="BL145" s="865"/>
      <c r="BM145" s="865"/>
      <c r="BN145" s="865"/>
      <c r="BO145" s="857"/>
      <c r="BP145" s="857"/>
      <c r="BQ145" s="857"/>
      <c r="BR145" s="892"/>
      <c r="BS145" s="857"/>
      <c r="BT145" s="857"/>
      <c r="BU145" s="857"/>
      <c r="BV145" s="865"/>
      <c r="BW145" s="865"/>
      <c r="BX145" s="865"/>
      <c r="BY145" s="865"/>
      <c r="BZ145" s="865"/>
      <c r="CA145" s="865"/>
      <c r="CB145" s="865"/>
      <c r="CC145" s="865"/>
      <c r="CD145" s="865"/>
      <c r="CE145" s="606"/>
      <c r="CF145" s="606"/>
      <c r="CG145" s="606"/>
      <c r="CH145" s="606"/>
      <c r="CI145" s="606"/>
      <c r="CJ145" s="606"/>
      <c r="CK145" s="606"/>
      <c r="CL145" s="606"/>
      <c r="CM145" s="606"/>
      <c r="CN145" s="606"/>
      <c r="CO145" s="606"/>
      <c r="CP145" s="606"/>
      <c r="CQ145" s="606"/>
      <c r="CR145" s="606"/>
      <c r="CS145" s="606"/>
      <c r="CT145" s="606"/>
      <c r="CU145" s="606"/>
      <c r="CV145" s="606"/>
      <c r="CW145" s="606"/>
      <c r="CX145" s="606"/>
      <c r="CY145" s="606"/>
      <c r="CZ145" s="606"/>
      <c r="DA145" s="606"/>
      <c r="DB145" s="606"/>
      <c r="DC145" s="606"/>
      <c r="DD145" s="606"/>
      <c r="DE145" s="606"/>
      <c r="DF145" s="606"/>
      <c r="DG145" s="606"/>
      <c r="DH145" s="606"/>
      <c r="DI145" s="606"/>
      <c r="DJ145" s="606"/>
      <c r="DK145" s="606"/>
      <c r="DL145" s="606"/>
      <c r="DM145" s="606"/>
      <c r="DN145" s="606"/>
      <c r="DO145" s="606"/>
      <c r="DP145" s="606"/>
      <c r="DQ145" s="606"/>
      <c r="DR145" s="606"/>
      <c r="DS145" s="606"/>
      <c r="DT145" s="606"/>
      <c r="DU145" s="606"/>
      <c r="DV145" s="606"/>
      <c r="DW145" s="606"/>
      <c r="DX145" s="606"/>
    </row>
    <row r="146" spans="1:128" ht="15.75" customHeight="1" x14ac:dyDescent="0.25">
      <c r="A146" s="1"/>
      <c r="B146" s="15"/>
      <c r="C146" s="514"/>
      <c r="D146" s="17"/>
      <c r="E146" s="17"/>
      <c r="F146" s="17"/>
      <c r="G146" s="52"/>
      <c r="H146" s="52"/>
      <c r="I146" s="53"/>
      <c r="J146" s="14"/>
      <c r="K146" s="325"/>
      <c r="L146" s="376"/>
      <c r="M146" s="393"/>
      <c r="N146" s="333"/>
      <c r="O146" s="296" t="s">
        <v>220</v>
      </c>
      <c r="P146" s="496"/>
      <c r="Q146" s="497"/>
      <c r="R146" s="498"/>
      <c r="S146" s="298"/>
      <c r="T146" s="447"/>
      <c r="U146" s="399"/>
      <c r="V146" s="315"/>
      <c r="W146" s="1"/>
      <c r="X146" s="470"/>
      <c r="Y146" s="470"/>
      <c r="Z146" s="470"/>
      <c r="AA146" s="470"/>
      <c r="AB146" s="470"/>
      <c r="AC146" s="470"/>
      <c r="AD146" s="470"/>
      <c r="AE146" s="470"/>
      <c r="AF146" s="470"/>
      <c r="AG146" s="470"/>
      <c r="AH146" s="470"/>
      <c r="AI146" s="470"/>
      <c r="AJ146" s="470"/>
      <c r="AK146" s="470"/>
      <c r="AL146" s="470"/>
      <c r="AM146" s="470"/>
      <c r="AN146" s="470"/>
      <c r="AO146" s="470"/>
      <c r="AP146" s="470"/>
      <c r="AQ146" s="470"/>
      <c r="AR146" s="470"/>
      <c r="AS146" s="470"/>
      <c r="AT146" s="470"/>
      <c r="AU146" s="470"/>
      <c r="AV146" s="470"/>
      <c r="AW146" s="470"/>
      <c r="AX146" s="470"/>
      <c r="AY146" s="470"/>
      <c r="AZ146" s="470"/>
      <c r="BA146" s="470"/>
      <c r="BB146" s="470"/>
      <c r="BC146" s="470"/>
      <c r="BD146" s="470"/>
      <c r="BE146" s="470"/>
      <c r="BF146" s="470"/>
      <c r="BG146" s="470"/>
      <c r="BH146" s="470"/>
      <c r="BI146" s="470"/>
      <c r="BJ146" s="470"/>
      <c r="BK146" s="800"/>
      <c r="BL146" s="865"/>
      <c r="BM146" s="865"/>
      <c r="BN146" s="865"/>
      <c r="BO146" s="857"/>
      <c r="BP146" s="857"/>
      <c r="BQ146" s="857"/>
      <c r="BR146" s="857"/>
      <c r="BS146" s="857"/>
      <c r="BT146" s="857"/>
      <c r="BU146" s="857"/>
      <c r="BV146" s="865"/>
      <c r="BW146" s="865"/>
      <c r="BX146" s="865"/>
      <c r="BY146" s="865"/>
      <c r="BZ146" s="865"/>
      <c r="CA146" s="865"/>
      <c r="CB146" s="865"/>
      <c r="CC146" s="865"/>
      <c r="CD146" s="865"/>
      <c r="CE146" s="606"/>
      <c r="CF146" s="606"/>
      <c r="CG146" s="606"/>
      <c r="CH146" s="606"/>
      <c r="CI146" s="606"/>
      <c r="CJ146" s="606"/>
      <c r="CK146" s="606"/>
      <c r="CL146" s="606"/>
      <c r="CM146" s="606"/>
      <c r="CN146" s="606"/>
      <c r="CO146" s="606"/>
      <c r="CP146" s="606"/>
      <c r="CQ146" s="606"/>
      <c r="CR146" s="606"/>
      <c r="CS146" s="606"/>
      <c r="CT146" s="606"/>
      <c r="CU146" s="606"/>
      <c r="CV146" s="606"/>
      <c r="CW146" s="606"/>
      <c r="CX146" s="606"/>
      <c r="CY146" s="606"/>
      <c r="CZ146" s="606"/>
      <c r="DA146" s="606"/>
      <c r="DB146" s="606"/>
      <c r="DC146" s="606"/>
      <c r="DD146" s="606"/>
      <c r="DE146" s="606"/>
      <c r="DF146" s="606"/>
      <c r="DG146" s="606"/>
      <c r="DH146" s="606"/>
      <c r="DI146" s="606"/>
      <c r="DJ146" s="606"/>
      <c r="DK146" s="606"/>
      <c r="DL146" s="606"/>
      <c r="DM146" s="606"/>
      <c r="DN146" s="606"/>
      <c r="DO146" s="606"/>
      <c r="DP146" s="606"/>
      <c r="DQ146" s="606"/>
      <c r="DR146" s="606"/>
      <c r="DS146" s="606"/>
      <c r="DT146" s="606"/>
      <c r="DU146" s="606"/>
      <c r="DV146" s="606"/>
      <c r="DW146" s="606"/>
      <c r="DX146" s="606"/>
    </row>
    <row r="147" spans="1:128" ht="15.75" customHeight="1" x14ac:dyDescent="0.25">
      <c r="A147" s="1"/>
      <c r="B147" s="15"/>
      <c r="C147" s="514"/>
      <c r="D147" s="17"/>
      <c r="E147" s="17"/>
      <c r="F147" s="17"/>
      <c r="G147" s="52"/>
      <c r="H147" s="52"/>
      <c r="I147" s="53"/>
      <c r="J147" s="14"/>
      <c r="K147" s="325"/>
      <c r="L147" s="376"/>
      <c r="M147" s="393"/>
      <c r="N147" s="333"/>
      <c r="O147" s="296" t="s">
        <v>221</v>
      </c>
      <c r="P147" s="496"/>
      <c r="Q147" s="497"/>
      <c r="R147" s="498"/>
      <c r="S147" s="298"/>
      <c r="T147" s="447"/>
      <c r="U147" s="399"/>
      <c r="V147" s="315"/>
      <c r="W147" s="1"/>
      <c r="X147" s="470"/>
      <c r="Y147" s="470"/>
      <c r="Z147" s="470"/>
      <c r="AA147" s="470"/>
      <c r="AB147" s="470"/>
      <c r="AC147" s="470"/>
      <c r="AD147" s="470"/>
      <c r="AE147" s="470"/>
      <c r="AF147" s="470"/>
      <c r="AG147" s="470"/>
      <c r="AH147" s="470"/>
      <c r="AI147" s="470"/>
      <c r="AJ147" s="470"/>
      <c r="AK147" s="470"/>
      <c r="AL147" s="470"/>
      <c r="AM147" s="470"/>
      <c r="AN147" s="470"/>
      <c r="AO147" s="470"/>
      <c r="AP147" s="470"/>
      <c r="AQ147" s="470"/>
      <c r="AR147" s="470"/>
      <c r="AS147" s="470"/>
      <c r="AT147" s="470"/>
      <c r="AU147" s="470"/>
      <c r="AV147" s="470"/>
      <c r="AW147" s="470"/>
      <c r="AX147" s="470"/>
      <c r="AY147" s="470"/>
      <c r="AZ147" s="470"/>
      <c r="BA147" s="470"/>
      <c r="BB147" s="470"/>
      <c r="BC147" s="470"/>
      <c r="BD147" s="470"/>
      <c r="BE147" s="470"/>
      <c r="BF147" s="470"/>
      <c r="BG147" s="470"/>
      <c r="BH147" s="470"/>
      <c r="BI147" s="470"/>
      <c r="BJ147" s="470"/>
      <c r="BK147" s="800"/>
      <c r="BL147" s="865"/>
      <c r="BM147" s="865"/>
      <c r="BN147" s="865"/>
      <c r="BO147" s="857"/>
      <c r="BP147" s="857"/>
      <c r="BQ147" s="857"/>
      <c r="BR147" s="857"/>
      <c r="BS147" s="857"/>
      <c r="BT147" s="857"/>
      <c r="BU147" s="857"/>
      <c r="BV147" s="865"/>
      <c r="BW147" s="865"/>
      <c r="BX147" s="865"/>
      <c r="BY147" s="865"/>
      <c r="BZ147" s="865"/>
      <c r="CA147" s="865"/>
      <c r="CB147" s="865"/>
      <c r="CC147" s="865"/>
      <c r="CD147" s="865"/>
      <c r="CE147" s="606"/>
      <c r="CF147" s="606"/>
      <c r="CG147" s="606"/>
      <c r="CH147" s="606"/>
      <c r="CI147" s="606"/>
      <c r="CJ147" s="606"/>
      <c r="CK147" s="606"/>
      <c r="CL147" s="606"/>
      <c r="CM147" s="606"/>
      <c r="CN147" s="606"/>
      <c r="CO147" s="606"/>
      <c r="CP147" s="606"/>
      <c r="CQ147" s="606"/>
      <c r="CR147" s="606"/>
      <c r="CS147" s="606"/>
      <c r="CT147" s="606"/>
      <c r="CU147" s="606"/>
      <c r="CV147" s="606"/>
      <c r="CW147" s="606"/>
      <c r="CX147" s="606"/>
      <c r="CY147" s="606"/>
      <c r="CZ147" s="606"/>
      <c r="DA147" s="606"/>
      <c r="DB147" s="606"/>
      <c r="DC147" s="606"/>
      <c r="DD147" s="606"/>
      <c r="DE147" s="606"/>
      <c r="DF147" s="606"/>
      <c r="DG147" s="606"/>
      <c r="DH147" s="606"/>
      <c r="DI147" s="606"/>
      <c r="DJ147" s="606"/>
      <c r="DK147" s="606"/>
      <c r="DL147" s="606"/>
      <c r="DM147" s="606"/>
      <c r="DN147" s="606"/>
      <c r="DO147" s="606"/>
      <c r="DP147" s="606"/>
      <c r="DQ147" s="606"/>
      <c r="DR147" s="606"/>
      <c r="DS147" s="606"/>
      <c r="DT147" s="606"/>
      <c r="DU147" s="606"/>
      <c r="DV147" s="606"/>
      <c r="DW147" s="606"/>
      <c r="DX147" s="606"/>
    </row>
    <row r="148" spans="1:128" ht="15.75" customHeight="1" x14ac:dyDescent="0.25">
      <c r="A148" s="1"/>
      <c r="B148" s="15"/>
      <c r="C148" s="514"/>
      <c r="D148" s="17"/>
      <c r="E148" s="17"/>
      <c r="F148" s="17"/>
      <c r="G148" s="52"/>
      <c r="H148" s="52"/>
      <c r="I148" s="53"/>
      <c r="J148" s="14"/>
      <c r="K148" s="325"/>
      <c r="L148" s="376"/>
      <c r="M148" s="393"/>
      <c r="N148" s="333"/>
      <c r="O148" s="296" t="s">
        <v>223</v>
      </c>
      <c r="P148" s="496"/>
      <c r="Q148" s="497"/>
      <c r="R148" s="498"/>
      <c r="S148" s="298"/>
      <c r="T148" s="447"/>
      <c r="U148" s="399"/>
      <c r="V148" s="315"/>
      <c r="W148" s="1"/>
      <c r="BK148" s="800"/>
      <c r="BL148" s="865"/>
      <c r="BM148" s="865"/>
      <c r="BN148" s="865"/>
      <c r="BO148" s="892"/>
      <c r="BP148" s="857"/>
      <c r="BQ148" s="857"/>
      <c r="BR148" s="857"/>
      <c r="BS148" s="857"/>
      <c r="BT148" s="857"/>
      <c r="BU148" s="857"/>
      <c r="BV148" s="865"/>
      <c r="BW148" s="865"/>
      <c r="BX148" s="865"/>
      <c r="BY148" s="865"/>
      <c r="BZ148" s="865"/>
      <c r="CA148" s="865"/>
      <c r="CB148" s="865"/>
      <c r="CC148" s="865"/>
      <c r="CD148" s="865"/>
      <c r="CE148" s="606"/>
      <c r="CF148" s="606"/>
      <c r="CG148" s="606"/>
      <c r="CH148" s="606"/>
      <c r="CI148" s="606"/>
      <c r="CJ148" s="606"/>
      <c r="CK148" s="606"/>
      <c r="CL148" s="606"/>
      <c r="CM148" s="606"/>
      <c r="CN148" s="606"/>
      <c r="CO148" s="606"/>
      <c r="CP148" s="606"/>
      <c r="CQ148" s="606"/>
      <c r="CR148" s="606"/>
      <c r="CS148" s="606"/>
      <c r="CT148" s="606"/>
      <c r="CU148" s="606"/>
      <c r="CV148" s="606"/>
      <c r="CW148" s="606"/>
      <c r="CX148" s="606"/>
      <c r="CY148" s="606"/>
      <c r="CZ148" s="606"/>
      <c r="DA148" s="606"/>
      <c r="DB148" s="606"/>
      <c r="DC148" s="606"/>
      <c r="DD148" s="606"/>
      <c r="DE148" s="606"/>
      <c r="DF148" s="606"/>
      <c r="DG148" s="606"/>
      <c r="DH148" s="606"/>
      <c r="DI148" s="606"/>
      <c r="DJ148" s="606"/>
      <c r="DK148" s="606"/>
      <c r="DL148" s="606"/>
      <c r="DM148" s="606"/>
      <c r="DN148" s="606"/>
      <c r="DO148" s="606"/>
      <c r="DP148" s="606"/>
      <c r="DQ148" s="606"/>
      <c r="DR148" s="606"/>
      <c r="DS148" s="606"/>
      <c r="DT148" s="606"/>
      <c r="DU148" s="606"/>
      <c r="DV148" s="606"/>
      <c r="DW148" s="606"/>
      <c r="DX148" s="606"/>
    </row>
    <row r="149" spans="1:128" ht="15.75" customHeight="1" x14ac:dyDescent="0.25">
      <c r="A149" s="1"/>
      <c r="B149" s="15"/>
      <c r="C149" s="514"/>
      <c r="D149" s="17"/>
      <c r="E149" s="17"/>
      <c r="F149" s="17"/>
      <c r="G149" s="52"/>
      <c r="H149" s="52"/>
      <c r="I149" s="53"/>
      <c r="J149" s="14"/>
      <c r="K149" s="325"/>
      <c r="L149" s="376"/>
      <c r="M149" s="393"/>
      <c r="N149" s="333"/>
      <c r="O149" s="296" t="s">
        <v>95</v>
      </c>
      <c r="P149" s="496"/>
      <c r="Q149" s="497"/>
      <c r="R149" s="498"/>
      <c r="S149" s="298"/>
      <c r="T149" s="447"/>
      <c r="U149" s="399"/>
      <c r="V149" s="315"/>
      <c r="W149" s="1"/>
      <c r="BK149" s="800"/>
      <c r="BL149" s="865"/>
      <c r="BM149" s="865"/>
      <c r="BN149" s="865"/>
      <c r="BO149" s="892"/>
      <c r="BP149" s="857"/>
      <c r="BQ149" s="857"/>
      <c r="BR149" s="892"/>
      <c r="BS149" s="857"/>
      <c r="BT149" s="857"/>
      <c r="BU149" s="857"/>
      <c r="BV149" s="865"/>
      <c r="BW149" s="865"/>
      <c r="BX149" s="865"/>
      <c r="BY149" s="865"/>
      <c r="BZ149" s="865"/>
      <c r="CA149" s="865"/>
      <c r="CB149" s="865"/>
      <c r="CC149" s="865"/>
      <c r="CD149" s="865"/>
      <c r="CE149" s="606"/>
      <c r="CF149" s="606"/>
      <c r="CG149" s="606"/>
      <c r="CH149" s="606"/>
      <c r="CI149" s="606"/>
      <c r="CJ149" s="606"/>
      <c r="CK149" s="606"/>
      <c r="CL149" s="606"/>
      <c r="CM149" s="606"/>
      <c r="CN149" s="606"/>
      <c r="CO149" s="606"/>
      <c r="CP149" s="606"/>
      <c r="CQ149" s="606"/>
      <c r="CR149" s="606"/>
      <c r="CS149" s="606"/>
      <c r="CT149" s="606"/>
      <c r="CU149" s="606"/>
      <c r="CV149" s="606"/>
      <c r="CW149" s="606"/>
      <c r="CX149" s="606"/>
      <c r="CY149" s="606"/>
      <c r="CZ149" s="606"/>
      <c r="DA149" s="606"/>
      <c r="DB149" s="606"/>
      <c r="DC149" s="606"/>
      <c r="DD149" s="606"/>
      <c r="DE149" s="606"/>
      <c r="DF149" s="606"/>
      <c r="DG149" s="606"/>
      <c r="DH149" s="606"/>
      <c r="DI149" s="606"/>
      <c r="DJ149" s="606"/>
      <c r="DK149" s="606"/>
      <c r="DL149" s="606"/>
      <c r="DM149" s="606"/>
      <c r="DN149" s="606"/>
      <c r="DO149" s="606"/>
      <c r="DP149" s="606"/>
      <c r="DQ149" s="606"/>
      <c r="DR149" s="606"/>
      <c r="DS149" s="606"/>
      <c r="DT149" s="606"/>
      <c r="DU149" s="606"/>
      <c r="DV149" s="606"/>
      <c r="DW149" s="606"/>
      <c r="DX149" s="606"/>
    </row>
    <row r="150" spans="1:128" ht="15.75" customHeight="1" x14ac:dyDescent="0.25">
      <c r="A150" s="1"/>
      <c r="B150" s="15"/>
      <c r="C150" s="514"/>
      <c r="D150" s="17"/>
      <c r="E150" s="17"/>
      <c r="F150" s="17"/>
      <c r="G150" s="52"/>
      <c r="H150" s="52"/>
      <c r="I150" s="53"/>
      <c r="J150" s="14"/>
      <c r="K150" s="325"/>
      <c r="L150" s="376"/>
      <c r="M150" s="393"/>
      <c r="N150" s="333"/>
      <c r="O150" s="296" t="s">
        <v>222</v>
      </c>
      <c r="P150" s="496"/>
      <c r="Q150" s="497"/>
      <c r="R150" s="498"/>
      <c r="S150" s="298"/>
      <c r="T150" s="447"/>
      <c r="U150" s="399"/>
      <c r="V150" s="315"/>
      <c r="W150" s="1"/>
      <c r="BK150" s="800"/>
      <c r="BL150" s="865"/>
      <c r="BM150" s="865"/>
      <c r="BN150" s="865"/>
      <c r="BO150" s="857"/>
      <c r="BP150" s="857"/>
      <c r="BQ150" s="857"/>
      <c r="BR150" s="892"/>
      <c r="BS150" s="857"/>
      <c r="BT150" s="857"/>
      <c r="BU150" s="857"/>
      <c r="BV150" s="865"/>
      <c r="BW150" s="865"/>
      <c r="BX150" s="865"/>
      <c r="BY150" s="865"/>
      <c r="BZ150" s="865"/>
      <c r="CA150" s="865"/>
      <c r="CB150" s="865"/>
      <c r="CC150" s="865"/>
      <c r="CD150" s="865"/>
      <c r="CE150" s="606"/>
      <c r="CF150" s="606"/>
      <c r="CG150" s="606"/>
      <c r="CH150" s="606"/>
      <c r="CI150" s="606"/>
      <c r="CJ150" s="606"/>
      <c r="CK150" s="606"/>
      <c r="CL150" s="606"/>
      <c r="CM150" s="606"/>
      <c r="CN150" s="606"/>
      <c r="CO150" s="606"/>
      <c r="CP150" s="606"/>
      <c r="CQ150" s="606"/>
      <c r="CR150" s="606"/>
      <c r="CS150" s="606"/>
      <c r="CT150" s="606"/>
      <c r="CU150" s="606"/>
      <c r="CV150" s="606"/>
      <c r="CW150" s="606"/>
      <c r="CX150" s="606"/>
      <c r="CY150" s="606"/>
      <c r="CZ150" s="606"/>
      <c r="DA150" s="606"/>
      <c r="DB150" s="606"/>
      <c r="DC150" s="606"/>
      <c r="DD150" s="606"/>
      <c r="DE150" s="606"/>
      <c r="DF150" s="606"/>
      <c r="DG150" s="606"/>
      <c r="DH150" s="606"/>
      <c r="DI150" s="606"/>
      <c r="DJ150" s="606"/>
      <c r="DK150" s="606"/>
      <c r="DL150" s="606"/>
      <c r="DM150" s="606"/>
      <c r="DN150" s="606"/>
      <c r="DO150" s="606"/>
      <c r="DP150" s="606"/>
      <c r="DQ150" s="606"/>
      <c r="DR150" s="606"/>
      <c r="DS150" s="606"/>
      <c r="DT150" s="606"/>
      <c r="DU150" s="606"/>
      <c r="DV150" s="606"/>
      <c r="DW150" s="606"/>
      <c r="DX150" s="606"/>
    </row>
    <row r="151" spans="1:128" ht="15.75" customHeight="1" x14ac:dyDescent="0.25">
      <c r="A151" s="1"/>
      <c r="B151" s="15"/>
      <c r="C151" s="514"/>
      <c r="D151" s="17"/>
      <c r="E151" s="17"/>
      <c r="F151" s="17"/>
      <c r="G151" s="52"/>
      <c r="H151" s="52"/>
      <c r="I151" s="53"/>
      <c r="J151" s="14"/>
      <c r="K151" s="325"/>
      <c r="L151" s="376"/>
      <c r="M151" s="393"/>
      <c r="N151" s="333"/>
      <c r="O151" s="296" t="s">
        <v>403</v>
      </c>
      <c r="P151" s="496"/>
      <c r="Q151" s="497"/>
      <c r="R151" s="498"/>
      <c r="S151" s="298"/>
      <c r="T151" s="447"/>
      <c r="U151" s="399"/>
      <c r="V151" s="315"/>
      <c r="W151" s="1"/>
      <c r="X151" s="470"/>
      <c r="Y151" s="470"/>
      <c r="Z151" s="470"/>
      <c r="AA151" s="470"/>
      <c r="AB151" s="470"/>
      <c r="AC151" s="470"/>
      <c r="AD151" s="470"/>
      <c r="AE151" s="470"/>
      <c r="AF151" s="470"/>
      <c r="AG151" s="470"/>
      <c r="AH151" s="470"/>
      <c r="AI151" s="470"/>
      <c r="AJ151" s="470"/>
      <c r="AK151" s="470"/>
      <c r="AL151" s="470"/>
      <c r="AM151" s="470"/>
      <c r="AN151" s="470"/>
      <c r="AO151" s="470"/>
      <c r="AP151" s="470"/>
      <c r="AQ151" s="470"/>
      <c r="AR151" s="470"/>
      <c r="AS151" s="470"/>
      <c r="AT151" s="470"/>
      <c r="AU151" s="470"/>
      <c r="AV151" s="470"/>
      <c r="AW151" s="470"/>
      <c r="AX151" s="470"/>
      <c r="AY151" s="470"/>
      <c r="AZ151" s="470"/>
      <c r="BA151" s="470"/>
      <c r="BB151" s="470"/>
      <c r="BC151" s="470"/>
      <c r="BD151" s="470"/>
      <c r="BE151" s="470"/>
      <c r="BF151" s="470"/>
      <c r="BG151" s="470"/>
      <c r="BH151" s="470"/>
      <c r="BI151" s="470"/>
      <c r="BJ151" s="470"/>
      <c r="BK151" s="800"/>
      <c r="BL151" s="865"/>
      <c r="BM151" s="865"/>
      <c r="BN151" s="865"/>
      <c r="BO151" s="857"/>
      <c r="BP151" s="857"/>
      <c r="BQ151" s="857"/>
      <c r="BR151" s="857"/>
      <c r="BS151" s="857"/>
      <c r="BT151" s="857"/>
      <c r="BU151" s="857"/>
      <c r="BV151" s="865"/>
      <c r="BW151" s="865"/>
      <c r="BX151" s="865"/>
      <c r="BY151" s="865"/>
      <c r="BZ151" s="865"/>
      <c r="CA151" s="865"/>
      <c r="CB151" s="865"/>
      <c r="CC151" s="865"/>
      <c r="CD151" s="865"/>
      <c r="CE151" s="606"/>
      <c r="CF151" s="606"/>
      <c r="CG151" s="606"/>
      <c r="CH151" s="606"/>
      <c r="CI151" s="606"/>
      <c r="CJ151" s="606"/>
      <c r="CK151" s="606"/>
      <c r="CL151" s="606"/>
      <c r="CM151" s="606"/>
      <c r="CN151" s="606"/>
      <c r="CO151" s="606"/>
      <c r="CP151" s="606"/>
      <c r="CQ151" s="606"/>
      <c r="CR151" s="606"/>
      <c r="CS151" s="606"/>
      <c r="CT151" s="606"/>
      <c r="CU151" s="606"/>
      <c r="CV151" s="606"/>
      <c r="CW151" s="606"/>
      <c r="CX151" s="606"/>
      <c r="CY151" s="606"/>
      <c r="CZ151" s="606"/>
      <c r="DA151" s="606"/>
      <c r="DB151" s="606"/>
      <c r="DC151" s="606"/>
      <c r="DD151" s="606"/>
      <c r="DE151" s="606"/>
      <c r="DF151" s="606"/>
      <c r="DG151" s="606"/>
      <c r="DH151" s="606"/>
      <c r="DI151" s="606"/>
      <c r="DJ151" s="606"/>
      <c r="DK151" s="606"/>
      <c r="DL151" s="606"/>
      <c r="DM151" s="606"/>
      <c r="DN151" s="606"/>
      <c r="DO151" s="606"/>
      <c r="DP151" s="606"/>
      <c r="DQ151" s="606"/>
      <c r="DR151" s="606"/>
      <c r="DS151" s="606"/>
      <c r="DT151" s="606"/>
      <c r="DU151" s="606"/>
      <c r="DV151" s="606"/>
      <c r="DW151" s="606"/>
      <c r="DX151" s="606"/>
    </row>
    <row r="152" spans="1:128" ht="15.75" customHeight="1" x14ac:dyDescent="0.25">
      <c r="A152" s="1"/>
      <c r="B152" s="15"/>
      <c r="C152" s="514"/>
      <c r="D152" s="17"/>
      <c r="E152" s="17"/>
      <c r="F152" s="17"/>
      <c r="G152" s="52"/>
      <c r="H152" s="52"/>
      <c r="I152" s="53"/>
      <c r="J152" s="14"/>
      <c r="K152" s="325"/>
      <c r="L152" s="376"/>
      <c r="M152" s="393"/>
      <c r="N152" s="333"/>
      <c r="O152" s="496"/>
      <c r="P152" s="496"/>
      <c r="Q152" s="497"/>
      <c r="R152" s="498"/>
      <c r="S152" s="298"/>
      <c r="T152" s="447"/>
      <c r="U152" s="399"/>
      <c r="V152" s="315"/>
      <c r="W152" s="1"/>
      <c r="X152" s="470"/>
      <c r="Y152" s="470"/>
      <c r="Z152" s="470"/>
      <c r="AA152" s="470"/>
      <c r="AB152" s="470"/>
      <c r="AC152" s="470"/>
      <c r="AD152" s="470"/>
      <c r="AE152" s="470"/>
      <c r="AF152" s="470"/>
      <c r="AG152" s="470"/>
      <c r="AH152" s="470"/>
      <c r="AI152" s="470"/>
      <c r="AJ152" s="470"/>
      <c r="AK152" s="470"/>
      <c r="AL152" s="470"/>
      <c r="AM152" s="470"/>
      <c r="AN152" s="470"/>
      <c r="AO152" s="470"/>
      <c r="AP152" s="470"/>
      <c r="AQ152" s="470"/>
      <c r="AR152" s="470"/>
      <c r="AS152" s="470"/>
      <c r="AT152" s="470"/>
      <c r="AU152" s="470"/>
      <c r="AV152" s="470"/>
      <c r="AW152" s="470"/>
      <c r="AX152" s="470"/>
      <c r="AY152" s="470"/>
      <c r="AZ152" s="470"/>
      <c r="BA152" s="470"/>
      <c r="BB152" s="470"/>
      <c r="BC152" s="470"/>
      <c r="BD152" s="470"/>
      <c r="BE152" s="470"/>
      <c r="BF152" s="470"/>
      <c r="BG152" s="470"/>
      <c r="BH152" s="470"/>
      <c r="BI152" s="470"/>
      <c r="BJ152" s="470"/>
      <c r="BK152" s="800"/>
      <c r="BL152" s="865"/>
      <c r="BM152" s="865"/>
      <c r="BN152" s="865"/>
      <c r="BO152" s="857"/>
      <c r="BP152" s="857"/>
      <c r="BQ152" s="857"/>
      <c r="BR152" s="857"/>
      <c r="BS152" s="857"/>
      <c r="BT152" s="857"/>
      <c r="BU152" s="857"/>
      <c r="BV152" s="865"/>
      <c r="BW152" s="865"/>
      <c r="BX152" s="865"/>
      <c r="BY152" s="865"/>
      <c r="BZ152" s="865"/>
      <c r="CA152" s="865"/>
      <c r="CB152" s="865"/>
      <c r="CC152" s="865"/>
      <c r="CD152" s="865"/>
      <c r="CE152" s="606"/>
      <c r="CF152" s="606"/>
      <c r="CG152" s="606"/>
      <c r="CH152" s="606"/>
      <c r="CI152" s="606"/>
      <c r="CJ152" s="606"/>
      <c r="CK152" s="606"/>
      <c r="CL152" s="606"/>
      <c r="CM152" s="606"/>
      <c r="CN152" s="606"/>
      <c r="CO152" s="606"/>
      <c r="CP152" s="606"/>
      <c r="CQ152" s="606"/>
      <c r="CR152" s="606"/>
      <c r="CS152" s="606"/>
      <c r="CT152" s="606"/>
      <c r="CU152" s="606"/>
      <c r="CV152" s="606"/>
      <c r="CW152" s="606"/>
      <c r="CX152" s="606"/>
      <c r="CY152" s="606"/>
      <c r="CZ152" s="606"/>
      <c r="DA152" s="606"/>
      <c r="DB152" s="606"/>
      <c r="DC152" s="606"/>
      <c r="DD152" s="606"/>
      <c r="DE152" s="606"/>
      <c r="DF152" s="606"/>
      <c r="DG152" s="606"/>
      <c r="DH152" s="606"/>
      <c r="DI152" s="606"/>
      <c r="DJ152" s="606"/>
      <c r="DK152" s="606"/>
      <c r="DL152" s="606"/>
      <c r="DM152" s="606"/>
      <c r="DN152" s="606"/>
      <c r="DO152" s="606"/>
      <c r="DP152" s="606"/>
      <c r="DQ152" s="606"/>
      <c r="DR152" s="606"/>
      <c r="DS152" s="606"/>
      <c r="DT152" s="606"/>
      <c r="DU152" s="606"/>
      <c r="DV152" s="606"/>
      <c r="DW152" s="606"/>
      <c r="DX152" s="606"/>
    </row>
    <row r="153" spans="1:128" ht="15.75" customHeight="1" thickBot="1" x14ac:dyDescent="0.3">
      <c r="A153" s="1"/>
      <c r="B153" s="15"/>
      <c r="C153" s="514"/>
      <c r="D153" s="17"/>
      <c r="E153" s="17"/>
      <c r="F153" s="17"/>
      <c r="G153" s="52"/>
      <c r="H153" s="52"/>
      <c r="I153" s="53"/>
      <c r="J153" s="14"/>
      <c r="K153" s="325"/>
      <c r="L153" s="376"/>
      <c r="M153" s="393"/>
      <c r="N153" s="645"/>
      <c r="O153" s="26" t="s">
        <v>411</v>
      </c>
      <c r="P153" s="56"/>
      <c r="Q153" s="56"/>
      <c r="R153" s="56"/>
      <c r="S153" s="297"/>
      <c r="T153" s="645"/>
      <c r="U153" s="486"/>
      <c r="V153" s="315"/>
      <c r="W153" s="1"/>
      <c r="X153" s="470"/>
      <c r="Y153" s="470"/>
      <c r="Z153" s="470"/>
      <c r="AA153" s="470"/>
      <c r="AB153" s="470"/>
      <c r="AC153" s="470"/>
      <c r="AD153" s="470"/>
      <c r="AE153" s="470"/>
      <c r="AF153" s="470"/>
      <c r="AG153" s="470"/>
      <c r="AH153" s="470"/>
      <c r="AI153" s="470"/>
      <c r="AJ153" s="470"/>
      <c r="AK153" s="470"/>
      <c r="AL153" s="470"/>
      <c r="AM153" s="470"/>
      <c r="AN153" s="470"/>
      <c r="AO153" s="470"/>
      <c r="AP153" s="470"/>
      <c r="AQ153" s="470"/>
      <c r="AR153" s="470"/>
      <c r="AS153" s="470"/>
      <c r="AT153" s="470"/>
      <c r="AU153" s="470"/>
      <c r="AV153" s="470"/>
      <c r="AW153" s="470"/>
      <c r="AX153" s="470"/>
      <c r="AY153" s="470"/>
      <c r="AZ153" s="470"/>
      <c r="BA153" s="470"/>
      <c r="BB153" s="470"/>
      <c r="BC153" s="470"/>
      <c r="BD153" s="470"/>
      <c r="BE153" s="470"/>
      <c r="BF153" s="470"/>
      <c r="BG153" s="470"/>
      <c r="BH153" s="470"/>
      <c r="BI153" s="470"/>
      <c r="BJ153" s="470"/>
      <c r="BK153" s="800"/>
      <c r="BL153" s="865"/>
      <c r="BM153" s="865"/>
      <c r="BN153" s="865"/>
      <c r="BO153" s="857"/>
      <c r="BP153" s="857"/>
      <c r="BQ153" s="857"/>
      <c r="BR153" s="857"/>
      <c r="BS153" s="857"/>
      <c r="BT153" s="857"/>
      <c r="BU153" s="857"/>
      <c r="BV153" s="865"/>
      <c r="BW153" s="865"/>
      <c r="BX153" s="865"/>
      <c r="BY153" s="865"/>
      <c r="BZ153" s="865"/>
      <c r="CA153" s="865"/>
      <c r="CB153" s="865"/>
      <c r="CC153" s="865"/>
      <c r="CD153" s="865"/>
      <c r="CE153" s="606"/>
      <c r="CF153" s="606"/>
      <c r="CG153" s="606"/>
      <c r="CH153" s="606"/>
      <c r="CI153" s="606"/>
      <c r="CJ153" s="606"/>
      <c r="CK153" s="606"/>
      <c r="CL153" s="606"/>
      <c r="CM153" s="606"/>
      <c r="CN153" s="606"/>
      <c r="CO153" s="606"/>
      <c r="CP153" s="606"/>
      <c r="CQ153" s="606"/>
      <c r="CR153" s="606"/>
      <c r="CS153" s="606"/>
      <c r="CT153" s="606"/>
      <c r="CU153" s="606"/>
      <c r="CV153" s="606"/>
      <c r="CW153" s="606"/>
      <c r="CX153" s="606"/>
      <c r="CY153" s="606"/>
      <c r="CZ153" s="606"/>
      <c r="DA153" s="606"/>
      <c r="DB153" s="606"/>
      <c r="DC153" s="606"/>
      <c r="DD153" s="606"/>
      <c r="DE153" s="606"/>
      <c r="DF153" s="606"/>
      <c r="DG153" s="606"/>
      <c r="DH153" s="606"/>
      <c r="DI153" s="606"/>
      <c r="DJ153" s="606"/>
      <c r="DK153" s="606"/>
      <c r="DL153" s="606"/>
      <c r="DM153" s="606"/>
      <c r="DN153" s="606"/>
      <c r="DO153" s="606"/>
      <c r="DP153" s="606"/>
      <c r="DQ153" s="606"/>
      <c r="DR153" s="606"/>
      <c r="DS153" s="606"/>
      <c r="DT153" s="606"/>
      <c r="DU153" s="606"/>
      <c r="DV153" s="606"/>
      <c r="DW153" s="606"/>
      <c r="DX153" s="606"/>
    </row>
    <row r="154" spans="1:128" ht="15.75" customHeight="1" thickBot="1" x14ac:dyDescent="0.3">
      <c r="A154" s="1"/>
      <c r="B154" s="15"/>
      <c r="C154" s="514"/>
      <c r="D154" s="17"/>
      <c r="E154" s="17"/>
      <c r="F154" s="17"/>
      <c r="G154" s="52"/>
      <c r="H154" s="52"/>
      <c r="I154" s="53"/>
      <c r="J154" s="14"/>
      <c r="K154" s="325"/>
      <c r="L154" s="376"/>
      <c r="M154" s="393"/>
      <c r="N154" s="645"/>
      <c r="O154" s="26" t="s">
        <v>410</v>
      </c>
      <c r="P154" s="56"/>
      <c r="Q154" s="56"/>
      <c r="R154" s="56"/>
      <c r="S154" s="297"/>
      <c r="T154" s="300" t="s">
        <v>55</v>
      </c>
      <c r="U154" s="505" t="s">
        <v>62</v>
      </c>
      <c r="V154" s="315"/>
      <c r="W154" s="1"/>
      <c r="X154" s="470"/>
      <c r="Y154" s="470"/>
      <c r="Z154" s="470"/>
      <c r="AA154" s="470"/>
      <c r="AB154" s="470"/>
      <c r="AC154" s="470"/>
      <c r="AD154" s="470"/>
      <c r="AE154" s="470"/>
      <c r="AF154" s="470"/>
      <c r="AG154" s="470"/>
      <c r="AH154" s="470"/>
      <c r="AI154" s="470"/>
      <c r="AJ154" s="470"/>
      <c r="AK154" s="470"/>
      <c r="AL154" s="470"/>
      <c r="AM154" s="470"/>
      <c r="AN154" s="470"/>
      <c r="AO154" s="470"/>
      <c r="AP154" s="470"/>
      <c r="AQ154" s="470"/>
      <c r="AR154" s="470"/>
      <c r="AS154" s="470"/>
      <c r="AT154" s="470"/>
      <c r="AU154" s="470"/>
      <c r="AV154" s="470"/>
      <c r="AW154" s="470"/>
      <c r="AX154" s="470"/>
      <c r="AY154" s="470"/>
      <c r="AZ154" s="470"/>
      <c r="BA154" s="470"/>
      <c r="BB154" s="470"/>
      <c r="BC154" s="470"/>
      <c r="BD154" s="470"/>
      <c r="BE154" s="470"/>
      <c r="BF154" s="470"/>
      <c r="BG154" s="470"/>
      <c r="BH154" s="470"/>
      <c r="BI154" s="470"/>
      <c r="BJ154" s="470"/>
      <c r="BK154" s="800"/>
      <c r="BL154" s="865"/>
      <c r="BM154" s="865"/>
      <c r="BN154" s="865"/>
      <c r="BO154" s="857"/>
      <c r="BP154" s="857"/>
      <c r="BQ154" s="857"/>
      <c r="BR154" s="857"/>
      <c r="BS154" s="857"/>
      <c r="BT154" s="857"/>
      <c r="BU154" s="857"/>
      <c r="BV154" s="865"/>
      <c r="BW154" s="865"/>
      <c r="BX154" s="865"/>
      <c r="BY154" s="865"/>
      <c r="BZ154" s="865"/>
      <c r="CA154" s="865"/>
      <c r="CB154" s="865"/>
      <c r="CC154" s="865"/>
      <c r="CD154" s="865"/>
      <c r="CE154" s="606"/>
      <c r="CF154" s="606"/>
      <c r="CG154" s="606"/>
      <c r="CH154" s="606"/>
      <c r="CI154" s="606"/>
      <c r="CJ154" s="606"/>
      <c r="CK154" s="606"/>
      <c r="CL154" s="606"/>
      <c r="CM154" s="606"/>
      <c r="CN154" s="606"/>
      <c r="CO154" s="606"/>
      <c r="CP154" s="606"/>
      <c r="CQ154" s="606"/>
      <c r="CR154" s="606"/>
      <c r="CS154" s="606"/>
      <c r="CT154" s="606"/>
      <c r="CU154" s="606"/>
      <c r="CV154" s="606"/>
      <c r="CW154" s="606"/>
      <c r="CX154" s="606"/>
      <c r="CY154" s="606"/>
      <c r="CZ154" s="606"/>
      <c r="DA154" s="606"/>
      <c r="DB154" s="606"/>
      <c r="DC154" s="606"/>
      <c r="DD154" s="606"/>
      <c r="DE154" s="606"/>
      <c r="DF154" s="606"/>
      <c r="DG154" s="606"/>
      <c r="DH154" s="606"/>
      <c r="DI154" s="606"/>
      <c r="DJ154" s="606"/>
      <c r="DK154" s="606"/>
      <c r="DL154" s="606"/>
      <c r="DM154" s="606"/>
      <c r="DN154" s="606"/>
      <c r="DO154" s="606"/>
      <c r="DP154" s="606"/>
      <c r="DQ154" s="606"/>
      <c r="DR154" s="606"/>
      <c r="DS154" s="606"/>
      <c r="DT154" s="606"/>
      <c r="DU154" s="606"/>
      <c r="DV154" s="606"/>
      <c r="DW154" s="606"/>
      <c r="DX154" s="606"/>
    </row>
    <row r="155" spans="1:128" ht="15.75" customHeight="1" thickBot="1" x14ac:dyDescent="0.3">
      <c r="A155" s="1"/>
      <c r="B155" s="45"/>
      <c r="C155" s="679"/>
      <c r="D155" s="85"/>
      <c r="E155" s="85"/>
      <c r="F155" s="85"/>
      <c r="G155" s="84"/>
      <c r="H155" s="84"/>
      <c r="I155" s="94"/>
      <c r="J155" s="14"/>
      <c r="K155" s="661"/>
      <c r="L155" s="389"/>
      <c r="M155" s="395"/>
      <c r="N155" s="336"/>
      <c r="O155" s="685"/>
      <c r="P155" s="685"/>
      <c r="Q155" s="685"/>
      <c r="R155" s="685"/>
      <c r="S155" s="686"/>
      <c r="T155" s="687"/>
      <c r="U155" s="400"/>
      <c r="V155" s="337"/>
      <c r="W155" s="1"/>
      <c r="X155" s="470"/>
      <c r="Y155" s="470"/>
      <c r="Z155" s="470"/>
      <c r="AA155" s="470"/>
      <c r="AB155" s="470"/>
      <c r="AC155" s="470"/>
      <c r="AD155" s="470"/>
      <c r="AE155" s="470"/>
      <c r="AF155" s="470"/>
      <c r="AG155" s="470"/>
      <c r="AH155" s="470"/>
      <c r="AI155" s="470"/>
      <c r="AJ155" s="470"/>
      <c r="AK155" s="470"/>
      <c r="AL155" s="470"/>
      <c r="AM155" s="470"/>
      <c r="AN155" s="470"/>
      <c r="AO155" s="470"/>
      <c r="AP155" s="470"/>
      <c r="AQ155" s="470"/>
      <c r="AR155" s="470"/>
      <c r="AS155" s="470"/>
      <c r="AT155" s="470"/>
      <c r="AU155" s="470"/>
      <c r="AV155" s="470"/>
      <c r="AW155" s="470"/>
      <c r="AX155" s="470"/>
      <c r="AY155" s="470"/>
      <c r="AZ155" s="470"/>
      <c r="BA155" s="470"/>
      <c r="BB155" s="470"/>
      <c r="BC155" s="470"/>
      <c r="BD155" s="470"/>
      <c r="BE155" s="470"/>
      <c r="BF155" s="470"/>
      <c r="BG155" s="470"/>
      <c r="BH155" s="470"/>
      <c r="BI155" s="470"/>
      <c r="BJ155" s="470"/>
      <c r="BK155" s="800"/>
      <c r="BL155" s="865"/>
      <c r="BM155" s="865"/>
      <c r="BN155" s="865"/>
      <c r="BO155" s="857"/>
      <c r="BP155" s="857"/>
      <c r="BQ155" s="857"/>
      <c r="BR155" s="857"/>
      <c r="BS155" s="857"/>
      <c r="BT155" s="857"/>
      <c r="BU155" s="857"/>
      <c r="BV155" s="865"/>
      <c r="BW155" s="865"/>
      <c r="BX155" s="865"/>
      <c r="BY155" s="865"/>
      <c r="BZ155" s="865"/>
      <c r="CA155" s="865"/>
      <c r="CB155" s="865"/>
      <c r="CC155" s="865"/>
      <c r="CD155" s="865"/>
      <c r="CE155" s="606"/>
      <c r="CF155" s="606"/>
      <c r="CG155" s="606"/>
      <c r="CH155" s="606"/>
      <c r="CI155" s="606"/>
      <c r="CJ155" s="606"/>
      <c r="CK155" s="606"/>
      <c r="CL155" s="606"/>
      <c r="CM155" s="606"/>
      <c r="CN155" s="606"/>
      <c r="CO155" s="606"/>
      <c r="CP155" s="606"/>
      <c r="CQ155" s="606"/>
      <c r="CR155" s="606"/>
      <c r="CS155" s="606"/>
      <c r="CT155" s="606"/>
      <c r="CU155" s="606"/>
      <c r="CV155" s="606"/>
      <c r="CW155" s="606"/>
      <c r="CX155" s="606"/>
      <c r="CY155" s="606"/>
      <c r="CZ155" s="606"/>
      <c r="DA155" s="606"/>
      <c r="DB155" s="606"/>
      <c r="DC155" s="606"/>
      <c r="DD155" s="606"/>
      <c r="DE155" s="606"/>
      <c r="DF155" s="606"/>
      <c r="DG155" s="606"/>
      <c r="DH155" s="606"/>
      <c r="DI155" s="606"/>
      <c r="DJ155" s="606"/>
      <c r="DK155" s="606"/>
      <c r="DL155" s="606"/>
      <c r="DM155" s="606"/>
      <c r="DN155" s="606"/>
      <c r="DO155" s="606"/>
      <c r="DP155" s="606"/>
      <c r="DQ155" s="606"/>
      <c r="DR155" s="606"/>
      <c r="DS155" s="606"/>
      <c r="DT155" s="606"/>
      <c r="DU155" s="606"/>
      <c r="DV155" s="606"/>
      <c r="DW155" s="606"/>
      <c r="DX155" s="606"/>
    </row>
    <row r="156" spans="1:128" ht="15.75" customHeight="1" thickBot="1" x14ac:dyDescent="0.3">
      <c r="A156" s="1"/>
      <c r="B156" s="6"/>
      <c r="C156" s="623"/>
      <c r="D156" s="6"/>
      <c r="E156" s="6"/>
      <c r="F156" s="6"/>
      <c r="G156" s="2"/>
      <c r="H156" s="2"/>
      <c r="I156" s="2"/>
      <c r="J156" s="14"/>
      <c r="K156" s="648"/>
      <c r="L156" s="626"/>
      <c r="M156" s="14"/>
      <c r="N156" s="6"/>
      <c r="O156" s="6"/>
      <c r="P156" s="6"/>
      <c r="Q156" s="6"/>
      <c r="R156" s="6"/>
      <c r="S156" s="14"/>
      <c r="T156" s="6"/>
      <c r="U156" s="6"/>
      <c r="V156" s="1"/>
      <c r="W156" s="1"/>
      <c r="BK156" s="800"/>
      <c r="BL156" s="865"/>
      <c r="BM156" s="865"/>
      <c r="BN156" s="865"/>
      <c r="BO156" s="939" t="s">
        <v>105</v>
      </c>
      <c r="BP156" s="857"/>
      <c r="BQ156" s="857"/>
      <c r="BR156" s="857"/>
      <c r="BS156" s="857"/>
      <c r="BT156" s="857"/>
      <c r="BU156" s="857"/>
      <c r="BV156" s="865"/>
      <c r="BW156" s="865"/>
      <c r="BX156" s="865"/>
      <c r="BY156" s="865"/>
      <c r="BZ156" s="865"/>
      <c r="CA156" s="865"/>
      <c r="CB156" s="865"/>
      <c r="CC156" s="865"/>
      <c r="CD156" s="865"/>
      <c r="CE156" s="606"/>
      <c r="CF156" s="606"/>
      <c r="CG156" s="606"/>
      <c r="CH156" s="606"/>
      <c r="CI156" s="606"/>
      <c r="CJ156" s="606"/>
      <c r="CK156" s="606"/>
      <c r="CL156" s="606"/>
      <c r="CM156" s="606"/>
      <c r="CN156" s="606"/>
      <c r="CO156" s="606"/>
      <c r="CP156" s="606"/>
      <c r="CQ156" s="606"/>
      <c r="CR156" s="606"/>
      <c r="CS156" s="606"/>
      <c r="CT156" s="606"/>
      <c r="CU156" s="606"/>
      <c r="CV156" s="606"/>
      <c r="CW156" s="606"/>
      <c r="CX156" s="606"/>
      <c r="CY156" s="606"/>
      <c r="CZ156" s="606"/>
      <c r="DA156" s="606"/>
      <c r="DB156" s="606"/>
      <c r="DC156" s="606"/>
      <c r="DD156" s="606"/>
      <c r="DE156" s="606"/>
      <c r="DF156" s="606"/>
      <c r="DG156" s="606"/>
      <c r="DH156" s="606"/>
      <c r="DI156" s="606"/>
      <c r="DJ156" s="606"/>
      <c r="DK156" s="606"/>
      <c r="DL156" s="606"/>
      <c r="DM156" s="606"/>
      <c r="DN156" s="606"/>
      <c r="DO156" s="606"/>
      <c r="DP156" s="606"/>
      <c r="DQ156" s="606"/>
      <c r="DR156" s="606"/>
      <c r="DS156" s="606"/>
      <c r="DT156" s="606"/>
      <c r="DU156" s="606"/>
      <c r="DV156" s="606"/>
      <c r="DW156" s="606"/>
      <c r="DX156" s="606"/>
    </row>
    <row r="157" spans="1:128" ht="16.5" customHeight="1" thickBot="1" x14ac:dyDescent="0.35">
      <c r="A157" s="1"/>
      <c r="B157" s="6"/>
      <c r="C157" s="623"/>
      <c r="D157" s="6"/>
      <c r="E157" s="6"/>
      <c r="F157" s="6"/>
      <c r="G157" s="2"/>
      <c r="H157" s="2"/>
      <c r="I157" s="2"/>
      <c r="J157" s="6"/>
      <c r="K157" s="647"/>
      <c r="L157" s="621" t="s">
        <v>107</v>
      </c>
      <c r="M157" s="14"/>
      <c r="N157" s="6"/>
      <c r="O157" s="6"/>
      <c r="P157" s="1"/>
      <c r="Q157" s="317" t="s">
        <v>380</v>
      </c>
      <c r="R157" s="1066" t="s">
        <v>105</v>
      </c>
      <c r="S157" s="1067"/>
      <c r="T157" s="6"/>
      <c r="U157" s="6"/>
      <c r="V157" s="1"/>
      <c r="W157" s="1"/>
      <c r="X157" s="477"/>
      <c r="Y157" s="477"/>
      <c r="Z157" s="477"/>
      <c r="AA157" s="477"/>
      <c r="AB157" s="477"/>
      <c r="AC157" s="477"/>
      <c r="AD157" s="477"/>
      <c r="AE157" s="477"/>
      <c r="AF157" s="477"/>
      <c r="AG157" s="477"/>
      <c r="AH157" s="477"/>
      <c r="AI157" s="477"/>
      <c r="AJ157" s="477"/>
      <c r="AK157" s="477"/>
      <c r="AL157" s="477"/>
      <c r="AM157" s="477"/>
      <c r="AN157" s="477"/>
      <c r="AO157" s="477"/>
      <c r="AP157" s="477"/>
      <c r="AQ157" s="477"/>
      <c r="AR157" s="477"/>
      <c r="AS157" s="477"/>
      <c r="AT157" s="477"/>
      <c r="AU157" s="477"/>
      <c r="AV157" s="477"/>
      <c r="AW157" s="477"/>
      <c r="AX157" s="477"/>
      <c r="AY157" s="477"/>
      <c r="AZ157" s="477"/>
      <c r="BA157" s="477"/>
      <c r="BB157" s="477"/>
      <c r="BC157" s="477"/>
      <c r="BD157" s="477"/>
      <c r="BE157" s="477"/>
      <c r="BF157" s="477"/>
      <c r="BG157" s="477"/>
      <c r="BH157" s="477"/>
      <c r="BI157" s="477"/>
      <c r="BJ157" s="477"/>
      <c r="BK157" s="800"/>
      <c r="BL157" s="865"/>
      <c r="BM157" s="865"/>
      <c r="BN157" s="865"/>
      <c r="BO157" s="939" t="s">
        <v>106</v>
      </c>
      <c r="BP157" s="857"/>
      <c r="BQ157" s="857"/>
      <c r="BR157" s="857"/>
      <c r="BS157" s="857"/>
      <c r="BT157" s="857"/>
      <c r="BU157" s="857"/>
      <c r="BV157" s="865"/>
      <c r="BW157" s="865"/>
      <c r="BX157" s="865"/>
      <c r="BY157" s="865"/>
      <c r="BZ157" s="865"/>
      <c r="CA157" s="865"/>
      <c r="CB157" s="865"/>
      <c r="CC157" s="865"/>
      <c r="CD157" s="865"/>
      <c r="CE157" s="606"/>
      <c r="CF157" s="606"/>
      <c r="CG157" s="606"/>
      <c r="CH157" s="606"/>
      <c r="CI157" s="606"/>
      <c r="CJ157" s="606"/>
      <c r="CK157" s="606"/>
      <c r="CL157" s="606"/>
      <c r="CM157" s="606"/>
      <c r="CN157" s="606"/>
      <c r="CO157" s="606"/>
      <c r="CP157" s="606"/>
      <c r="CQ157" s="606"/>
      <c r="CR157" s="606"/>
      <c r="CS157" s="606"/>
      <c r="CT157" s="606"/>
      <c r="CU157" s="606"/>
      <c r="CV157" s="606"/>
      <c r="CW157" s="606"/>
      <c r="CX157" s="606"/>
      <c r="CY157" s="606"/>
      <c r="CZ157" s="606"/>
      <c r="DA157" s="606"/>
      <c r="DB157" s="606"/>
      <c r="DC157" s="606"/>
      <c r="DD157" s="606"/>
      <c r="DE157" s="606"/>
      <c r="DF157" s="606"/>
      <c r="DG157" s="606"/>
      <c r="DH157" s="606"/>
      <c r="DI157" s="606"/>
      <c r="DJ157" s="606"/>
      <c r="DK157" s="606"/>
      <c r="DL157" s="606"/>
      <c r="DM157" s="606"/>
      <c r="DN157" s="606"/>
      <c r="DO157" s="606"/>
      <c r="DP157" s="606"/>
      <c r="DQ157" s="606"/>
      <c r="DR157" s="606"/>
      <c r="DS157" s="606"/>
      <c r="DT157" s="606"/>
      <c r="DU157" s="606"/>
      <c r="DV157" s="606"/>
      <c r="DW157" s="606"/>
      <c r="DX157" s="606"/>
    </row>
    <row r="158" spans="1:128" ht="15.75" customHeight="1" thickBot="1" x14ac:dyDescent="0.3">
      <c r="A158" s="1"/>
      <c r="B158" s="6"/>
      <c r="C158" s="623"/>
      <c r="D158" s="6"/>
      <c r="E158" s="6"/>
      <c r="F158" s="6"/>
      <c r="G158" s="2"/>
      <c r="H158" s="2"/>
      <c r="I158" s="2"/>
      <c r="J158" s="6"/>
      <c r="K158" s="662"/>
      <c r="L158" s="627"/>
      <c r="M158" s="95"/>
      <c r="N158" s="96"/>
      <c r="O158" s="96"/>
      <c r="P158" s="96"/>
      <c r="Q158" s="96"/>
      <c r="R158" s="96"/>
      <c r="S158" s="95"/>
      <c r="T158" s="96"/>
      <c r="U158" s="96"/>
      <c r="V158" s="96"/>
      <c r="W158" s="1"/>
      <c r="X158" s="478"/>
      <c r="Y158" s="478"/>
      <c r="Z158" s="478"/>
      <c r="AA158" s="478"/>
      <c r="AB158" s="478"/>
      <c r="AC158" s="478"/>
      <c r="AD158" s="478"/>
      <c r="AE158" s="478"/>
      <c r="AF158" s="478"/>
      <c r="AG158" s="478"/>
      <c r="AH158" s="478"/>
      <c r="AI158" s="478"/>
      <c r="AJ158" s="478"/>
      <c r="AK158" s="478"/>
      <c r="AL158" s="478"/>
      <c r="AM158" s="478"/>
      <c r="AN158" s="478"/>
      <c r="AO158" s="478"/>
      <c r="AP158" s="478"/>
      <c r="AQ158" s="478"/>
      <c r="AR158" s="478"/>
      <c r="AS158" s="478"/>
      <c r="AT158" s="478"/>
      <c r="AU158" s="478"/>
      <c r="AV158" s="478"/>
      <c r="AW158" s="478"/>
      <c r="AX158" s="478"/>
      <c r="AY158" s="478"/>
      <c r="AZ158" s="478"/>
      <c r="BA158" s="478"/>
      <c r="BB158" s="478"/>
      <c r="BC158" s="478"/>
      <c r="BD158" s="478"/>
      <c r="BE158" s="478"/>
      <c r="BF158" s="478"/>
      <c r="BG158" s="478"/>
      <c r="BH158" s="478"/>
      <c r="BI158" s="478"/>
      <c r="BJ158" s="478"/>
      <c r="BK158" s="800"/>
      <c r="BL158" s="865"/>
      <c r="BM158" s="865"/>
      <c r="BN158" s="865"/>
      <c r="BO158" s="857"/>
      <c r="BP158" s="857"/>
      <c r="BQ158" s="857"/>
      <c r="BR158" s="857"/>
      <c r="BS158" s="857"/>
      <c r="BT158" s="857"/>
      <c r="BU158" s="857"/>
      <c r="BV158" s="865"/>
      <c r="BW158" s="865"/>
      <c r="BX158" s="865"/>
      <c r="BY158" s="865"/>
      <c r="BZ158" s="865"/>
      <c r="CA158" s="865"/>
      <c r="CB158" s="865"/>
      <c r="CC158" s="865"/>
      <c r="CD158" s="865"/>
      <c r="CE158" s="606"/>
      <c r="CF158" s="606"/>
      <c r="CG158" s="606"/>
      <c r="CH158" s="606"/>
      <c r="CI158" s="606"/>
      <c r="CJ158" s="606"/>
      <c r="CK158" s="606"/>
      <c r="CL158" s="606"/>
      <c r="CM158" s="606"/>
      <c r="CN158" s="606"/>
      <c r="CO158" s="606"/>
      <c r="CP158" s="606"/>
      <c r="CQ158" s="606"/>
      <c r="CR158" s="606"/>
      <c r="CS158" s="606"/>
      <c r="CT158" s="606"/>
      <c r="CU158" s="606"/>
      <c r="CV158" s="606"/>
      <c r="CW158" s="606"/>
      <c r="CX158" s="606"/>
      <c r="CY158" s="606"/>
      <c r="CZ158" s="606"/>
      <c r="DA158" s="606"/>
      <c r="DB158" s="606"/>
      <c r="DC158" s="606"/>
      <c r="DD158" s="606"/>
      <c r="DE158" s="606"/>
      <c r="DF158" s="606"/>
      <c r="DG158" s="606"/>
      <c r="DH158" s="606"/>
      <c r="DI158" s="606"/>
      <c r="DJ158" s="606"/>
      <c r="DK158" s="606"/>
      <c r="DL158" s="606"/>
      <c r="DM158" s="606"/>
      <c r="DN158" s="606"/>
      <c r="DO158" s="606"/>
      <c r="DP158" s="606"/>
      <c r="DQ158" s="606"/>
      <c r="DR158" s="606"/>
      <c r="DS158" s="606"/>
      <c r="DT158" s="606"/>
      <c r="DU158" s="606"/>
      <c r="DV158" s="606"/>
      <c r="DW158" s="606"/>
      <c r="DX158" s="606"/>
    </row>
    <row r="159" spans="1:128" ht="15.75" customHeight="1" x14ac:dyDescent="0.3">
      <c r="A159" s="1"/>
      <c r="B159" s="9"/>
      <c r="C159" s="674"/>
      <c r="D159" s="11"/>
      <c r="E159" s="11"/>
      <c r="F159" s="11"/>
      <c r="G159" s="97"/>
      <c r="H159" s="97"/>
      <c r="I159" s="98"/>
      <c r="J159" s="6"/>
      <c r="K159" s="660"/>
      <c r="L159" s="624"/>
      <c r="M159" s="401"/>
      <c r="N159" s="365"/>
      <c r="O159" s="365"/>
      <c r="P159" s="365"/>
      <c r="Q159" s="365"/>
      <c r="R159" s="365"/>
      <c r="S159" s="364"/>
      <c r="T159" s="365"/>
      <c r="U159" s="365"/>
      <c r="V159" s="366"/>
      <c r="W159" s="1"/>
      <c r="X159" s="470"/>
      <c r="Y159" s="470"/>
      <c r="Z159" s="470"/>
      <c r="AA159" s="470"/>
      <c r="AB159" s="470"/>
      <c r="AC159" s="470"/>
      <c r="AD159" s="470"/>
      <c r="AE159" s="470"/>
      <c r="AF159" s="470"/>
      <c r="AG159" s="470"/>
      <c r="AH159" s="470"/>
      <c r="AI159" s="470"/>
      <c r="AJ159" s="470"/>
      <c r="AK159" s="470"/>
      <c r="AL159" s="470"/>
      <c r="AM159" s="470"/>
      <c r="AN159" s="470"/>
      <c r="AO159" s="470"/>
      <c r="AP159" s="470"/>
      <c r="AQ159" s="470"/>
      <c r="AR159" s="470"/>
      <c r="AS159" s="470"/>
      <c r="AT159" s="470"/>
      <c r="AU159" s="470"/>
      <c r="AV159" s="470"/>
      <c r="AW159" s="470"/>
      <c r="AX159" s="470"/>
      <c r="AY159" s="470"/>
      <c r="AZ159" s="470"/>
      <c r="BA159" s="470"/>
      <c r="BB159" s="470"/>
      <c r="BC159" s="470"/>
      <c r="BD159" s="470"/>
      <c r="BE159" s="470"/>
      <c r="BF159" s="470"/>
      <c r="BG159" s="470"/>
      <c r="BH159" s="470"/>
      <c r="BI159" s="470"/>
      <c r="BJ159" s="470"/>
      <c r="BK159" s="800"/>
      <c r="BL159" s="865"/>
      <c r="BM159" s="865"/>
      <c r="BN159" s="865"/>
      <c r="BO159" s="857"/>
      <c r="BP159" s="857"/>
      <c r="BQ159" s="857"/>
      <c r="BR159" s="857"/>
      <c r="BS159" s="857"/>
      <c r="BT159" s="857"/>
      <c r="BU159" s="857"/>
      <c r="BV159" s="865"/>
      <c r="BW159" s="865"/>
      <c r="BX159" s="865"/>
      <c r="BY159" s="865"/>
      <c r="BZ159" s="865"/>
      <c r="CA159" s="865"/>
      <c r="CB159" s="865"/>
      <c r="CC159" s="865"/>
      <c r="CD159" s="865"/>
      <c r="CE159" s="606"/>
      <c r="CF159" s="606"/>
      <c r="CG159" s="606"/>
      <c r="CH159" s="606"/>
      <c r="CI159" s="606"/>
      <c r="CJ159" s="606"/>
      <c r="CK159" s="606"/>
      <c r="CL159" s="606"/>
      <c r="CM159" s="606"/>
      <c r="CN159" s="606"/>
      <c r="CO159" s="606"/>
      <c r="CP159" s="606"/>
      <c r="CQ159" s="606"/>
      <c r="CR159" s="606"/>
      <c r="CS159" s="606"/>
      <c r="CT159" s="606"/>
      <c r="CU159" s="606"/>
      <c r="CV159" s="606"/>
      <c r="CW159" s="606"/>
      <c r="CX159" s="606"/>
      <c r="CY159" s="606"/>
      <c r="CZ159" s="606"/>
      <c r="DA159" s="606"/>
      <c r="DB159" s="606"/>
      <c r="DC159" s="606"/>
      <c r="DD159" s="606"/>
      <c r="DE159" s="606"/>
      <c r="DF159" s="606"/>
      <c r="DG159" s="606"/>
      <c r="DH159" s="606"/>
      <c r="DI159" s="606"/>
      <c r="DJ159" s="606"/>
      <c r="DK159" s="606"/>
      <c r="DL159" s="606"/>
      <c r="DM159" s="606"/>
      <c r="DN159" s="606"/>
      <c r="DO159" s="606"/>
      <c r="DP159" s="606"/>
      <c r="DQ159" s="606"/>
      <c r="DR159" s="606"/>
      <c r="DS159" s="606"/>
      <c r="DT159" s="606"/>
      <c r="DU159" s="606"/>
      <c r="DV159" s="606"/>
      <c r="DW159" s="606"/>
      <c r="DX159" s="606"/>
    </row>
    <row r="160" spans="1:128" ht="15.75" customHeight="1" x14ac:dyDescent="0.3">
      <c r="A160" s="1"/>
      <c r="B160" s="15"/>
      <c r="C160" s="974" t="s">
        <v>105</v>
      </c>
      <c r="D160" s="974"/>
      <c r="E160" s="17"/>
      <c r="F160" s="17"/>
      <c r="G160" s="17"/>
      <c r="H160" s="51"/>
      <c r="I160" s="53"/>
      <c r="J160" s="6"/>
      <c r="K160" s="650"/>
      <c r="L160" s="376"/>
      <c r="M160" s="441" t="s">
        <v>105</v>
      </c>
      <c r="N160" s="443"/>
      <c r="O160" s="443"/>
      <c r="P160" s="667" t="str">
        <f>IF(R157="sumidouro",IF($U$46&gt;12000.001,"Esta unidade não suporta vazão de acima de 12000l/dia"," "),"  ")</f>
        <v xml:space="preserve"> </v>
      </c>
      <c r="Q160" s="443"/>
      <c r="R160" s="443"/>
      <c r="S160" s="296"/>
      <c r="T160" s="443"/>
      <c r="U160" s="443"/>
      <c r="V160" s="315"/>
      <c r="W160" s="1"/>
      <c r="X160" s="470"/>
      <c r="Y160" s="470"/>
      <c r="Z160" s="470"/>
      <c r="AA160" s="470"/>
      <c r="AB160" s="470"/>
      <c r="AC160" s="470"/>
      <c r="AD160" s="470"/>
      <c r="AE160" s="470"/>
      <c r="AF160" s="470"/>
      <c r="AG160" s="470"/>
      <c r="AH160" s="470"/>
      <c r="AI160" s="470"/>
      <c r="AJ160" s="470"/>
      <c r="AK160" s="470"/>
      <c r="AL160" s="470"/>
      <c r="AM160" s="470"/>
      <c r="AN160" s="470"/>
      <c r="AO160" s="470"/>
      <c r="AP160" s="470"/>
      <c r="AQ160" s="470"/>
      <c r="AR160" s="470"/>
      <c r="AS160" s="470"/>
      <c r="AT160" s="470"/>
      <c r="AU160" s="470"/>
      <c r="AV160" s="470"/>
      <c r="AW160" s="470"/>
      <c r="AX160" s="470"/>
      <c r="AY160" s="470"/>
      <c r="AZ160" s="470"/>
      <c r="BA160" s="470"/>
      <c r="BB160" s="470"/>
      <c r="BC160" s="470"/>
      <c r="BD160" s="470"/>
      <c r="BE160" s="470"/>
      <c r="BF160" s="470"/>
      <c r="BG160" s="470"/>
      <c r="BH160" s="470"/>
      <c r="BI160" s="470"/>
      <c r="BJ160" s="470"/>
      <c r="BK160" s="800"/>
      <c r="BL160" s="865"/>
      <c r="BM160" s="865"/>
      <c r="BN160" s="865"/>
      <c r="BO160" s="857"/>
      <c r="BP160" s="857"/>
      <c r="BQ160" s="857"/>
      <c r="BR160" s="857"/>
      <c r="BS160" s="857"/>
      <c r="BT160" s="857"/>
      <c r="BU160" s="857"/>
      <c r="BV160" s="865"/>
      <c r="BW160" s="865"/>
      <c r="BX160" s="865"/>
      <c r="BY160" s="865"/>
      <c r="BZ160" s="865"/>
      <c r="CA160" s="865"/>
      <c r="CB160" s="865"/>
      <c r="CC160" s="865"/>
      <c r="CD160" s="865"/>
      <c r="CE160" s="606"/>
      <c r="CF160" s="606"/>
      <c r="CG160" s="606"/>
      <c r="CH160" s="606"/>
      <c r="CI160" s="606"/>
      <c r="CJ160" s="606"/>
      <c r="CK160" s="606"/>
      <c r="CL160" s="606"/>
      <c r="CM160" s="606"/>
      <c r="CN160" s="606"/>
      <c r="CO160" s="606"/>
      <c r="CP160" s="606"/>
      <c r="CQ160" s="606"/>
      <c r="CR160" s="606"/>
      <c r="CS160" s="606"/>
      <c r="CT160" s="606"/>
      <c r="CU160" s="606"/>
      <c r="CV160" s="606"/>
      <c r="CW160" s="606"/>
      <c r="CX160" s="606"/>
      <c r="CY160" s="606"/>
      <c r="CZ160" s="606"/>
      <c r="DA160" s="606"/>
      <c r="DB160" s="606"/>
      <c r="DC160" s="606"/>
      <c r="DD160" s="606"/>
      <c r="DE160" s="606"/>
      <c r="DF160" s="606"/>
      <c r="DG160" s="606"/>
      <c r="DH160" s="606"/>
      <c r="DI160" s="606"/>
      <c r="DJ160" s="606"/>
      <c r="DK160" s="606"/>
      <c r="DL160" s="606"/>
      <c r="DM160" s="606"/>
      <c r="DN160" s="606"/>
      <c r="DO160" s="606"/>
      <c r="DP160" s="606"/>
      <c r="DQ160" s="606"/>
      <c r="DR160" s="606"/>
      <c r="DS160" s="606"/>
      <c r="DT160" s="606"/>
      <c r="DU160" s="606"/>
      <c r="DV160" s="606"/>
      <c r="DW160" s="606"/>
      <c r="DX160" s="606"/>
    </row>
    <row r="161" spans="1:128" ht="15.75" customHeight="1" x14ac:dyDescent="0.25">
      <c r="A161" s="1"/>
      <c r="B161" s="15"/>
      <c r="C161" s="514"/>
      <c r="D161" s="52"/>
      <c r="E161" s="17"/>
      <c r="F161" s="17"/>
      <c r="G161" s="17"/>
      <c r="H161" s="52"/>
      <c r="I161" s="53"/>
      <c r="J161" s="6"/>
      <c r="K161" s="650"/>
      <c r="L161" s="376"/>
      <c r="M161" s="441"/>
      <c r="N161" s="443"/>
      <c r="O161" s="443"/>
      <c r="P161" s="443"/>
      <c r="Q161" s="443"/>
      <c r="R161" s="443"/>
      <c r="S161" s="296"/>
      <c r="T161" s="443"/>
      <c r="U161" s="443"/>
      <c r="V161" s="315"/>
      <c r="W161" s="1"/>
      <c r="X161" s="470"/>
      <c r="Y161" s="470"/>
      <c r="Z161" s="470"/>
      <c r="AA161" s="470"/>
      <c r="AB161" s="470"/>
      <c r="AC161" s="470"/>
      <c r="AD161" s="470"/>
      <c r="AE161" s="470"/>
      <c r="AF161" s="470"/>
      <c r="AG161" s="470"/>
      <c r="AH161" s="470"/>
      <c r="AI161" s="470"/>
      <c r="AJ161" s="470"/>
      <c r="AK161" s="470"/>
      <c r="AL161" s="470"/>
      <c r="AM161" s="470"/>
      <c r="AN161" s="470"/>
      <c r="AO161" s="470"/>
      <c r="AP161" s="470"/>
      <c r="AQ161" s="470"/>
      <c r="AR161" s="470"/>
      <c r="AS161" s="470"/>
      <c r="AT161" s="470"/>
      <c r="AU161" s="470"/>
      <c r="AV161" s="470"/>
      <c r="AW161" s="470"/>
      <c r="AX161" s="470"/>
      <c r="AY161" s="470"/>
      <c r="AZ161" s="470"/>
      <c r="BA161" s="470"/>
      <c r="BB161" s="470"/>
      <c r="BC161" s="470"/>
      <c r="BD161" s="470"/>
      <c r="BE161" s="470"/>
      <c r="BF161" s="470"/>
      <c r="BG161" s="470"/>
      <c r="BH161" s="470"/>
      <c r="BI161" s="470"/>
      <c r="BJ161" s="470"/>
      <c r="BK161" s="800"/>
      <c r="BL161" s="865"/>
      <c r="BM161" s="865"/>
      <c r="BN161" s="865"/>
      <c r="BO161" s="865"/>
      <c r="BP161" s="857"/>
      <c r="BQ161" s="857"/>
      <c r="BR161" s="857"/>
      <c r="BS161" s="865"/>
      <c r="BT161" s="865"/>
      <c r="BU161" s="865"/>
      <c r="BV161" s="865"/>
      <c r="BW161" s="865"/>
      <c r="BX161" s="865"/>
      <c r="BY161" s="865"/>
      <c r="BZ161" s="865"/>
      <c r="CA161" s="865"/>
      <c r="CB161" s="865"/>
      <c r="CC161" s="865"/>
      <c r="CD161" s="865"/>
      <c r="CE161" s="606"/>
      <c r="CF161" s="606"/>
      <c r="CG161" s="606"/>
      <c r="CH161" s="606"/>
      <c r="CI161" s="606"/>
      <c r="CJ161" s="606"/>
      <c r="CK161" s="606"/>
      <c r="CL161" s="606"/>
      <c r="CM161" s="606"/>
      <c r="CN161" s="606"/>
      <c r="CO161" s="606"/>
      <c r="CP161" s="606"/>
      <c r="CQ161" s="606"/>
      <c r="CR161" s="606"/>
      <c r="CS161" s="606"/>
      <c r="CT161" s="606"/>
      <c r="CU161" s="606"/>
      <c r="CV161" s="606"/>
      <c r="CW161" s="606"/>
      <c r="CX161" s="606"/>
      <c r="CY161" s="606"/>
      <c r="CZ161" s="606"/>
      <c r="DA161" s="606"/>
      <c r="DB161" s="606"/>
      <c r="DC161" s="606"/>
      <c r="DD161" s="606"/>
      <c r="DE161" s="606"/>
      <c r="DF161" s="606"/>
      <c r="DG161" s="606"/>
      <c r="DH161" s="606"/>
      <c r="DI161" s="606"/>
      <c r="DJ161" s="606"/>
      <c r="DK161" s="606"/>
      <c r="DL161" s="606"/>
      <c r="DM161" s="606"/>
      <c r="DN161" s="606"/>
      <c r="DO161" s="606"/>
      <c r="DP161" s="606"/>
      <c r="DQ161" s="606"/>
      <c r="DR161" s="606"/>
      <c r="DS161" s="606"/>
      <c r="DT161" s="606"/>
      <c r="DU161" s="606"/>
      <c r="DV161" s="606"/>
      <c r="DW161" s="606"/>
      <c r="DX161" s="606"/>
    </row>
    <row r="162" spans="1:128" ht="15.75" customHeight="1" thickBot="1" x14ac:dyDescent="0.3">
      <c r="A162" s="1"/>
      <c r="B162" s="504"/>
      <c r="C162" s="681" t="s">
        <v>224</v>
      </c>
      <c r="D162" s="52" t="s">
        <v>405</v>
      </c>
      <c r="E162" s="507"/>
      <c r="F162" s="507"/>
      <c r="G162" s="17"/>
      <c r="H162" s="52"/>
      <c r="I162" s="53"/>
      <c r="J162" s="6"/>
      <c r="K162" s="325"/>
      <c r="L162" s="376"/>
      <c r="M162" s="441"/>
      <c r="N162" s="443"/>
      <c r="O162" s="443"/>
      <c r="P162" s="443"/>
      <c r="Q162" s="296"/>
      <c r="R162" s="296"/>
      <c r="S162" s="296"/>
      <c r="T162" s="443"/>
      <c r="U162" s="443"/>
      <c r="V162" s="315"/>
      <c r="W162" s="1"/>
      <c r="X162" s="479"/>
      <c r="Y162" s="479"/>
      <c r="Z162" s="479"/>
      <c r="AA162" s="479"/>
      <c r="AB162" s="479"/>
      <c r="AC162" s="479"/>
      <c r="AD162" s="479"/>
      <c r="AE162" s="479"/>
      <c r="AF162" s="479"/>
      <c r="AG162" s="479"/>
      <c r="AH162" s="479"/>
      <c r="AI162" s="479"/>
      <c r="AJ162" s="479"/>
      <c r="AK162" s="479"/>
      <c r="AL162" s="479"/>
      <c r="AM162" s="479"/>
      <c r="AN162" s="479"/>
      <c r="AO162" s="479"/>
      <c r="AP162" s="479"/>
      <c r="AQ162" s="479"/>
      <c r="AR162" s="479"/>
      <c r="AS162" s="479"/>
      <c r="AT162" s="479"/>
      <c r="AU162" s="479"/>
      <c r="AV162" s="479"/>
      <c r="AW162" s="479"/>
      <c r="AX162" s="479"/>
      <c r="AY162" s="479"/>
      <c r="AZ162" s="479"/>
      <c r="BA162" s="479"/>
      <c r="BB162" s="479"/>
      <c r="BC162" s="479"/>
      <c r="BD162" s="479"/>
      <c r="BE162" s="479"/>
      <c r="BF162" s="479"/>
      <c r="BG162" s="479"/>
      <c r="BH162" s="479"/>
      <c r="BI162" s="479"/>
      <c r="BJ162" s="479"/>
      <c r="BK162" s="800"/>
      <c r="BL162" s="865"/>
      <c r="BM162" s="865"/>
      <c r="BN162" s="865"/>
      <c r="BO162" s="865"/>
      <c r="BP162" s="865"/>
      <c r="BQ162" s="865"/>
      <c r="BR162" s="865"/>
      <c r="BS162" s="865"/>
      <c r="BT162" s="865"/>
      <c r="BU162" s="865"/>
      <c r="BV162" s="865"/>
      <c r="BW162" s="865"/>
      <c r="BX162" s="865"/>
      <c r="BY162" s="865"/>
      <c r="BZ162" s="865"/>
      <c r="CA162" s="865"/>
      <c r="CB162" s="865"/>
      <c r="CC162" s="865"/>
      <c r="CD162" s="865"/>
      <c r="CE162" s="606"/>
      <c r="CF162" s="606"/>
      <c r="CG162" s="606"/>
      <c r="CH162" s="606"/>
      <c r="CI162" s="606"/>
      <c r="CJ162" s="606"/>
      <c r="CK162" s="606"/>
      <c r="CL162" s="606"/>
      <c r="CM162" s="606"/>
      <c r="CN162" s="606"/>
      <c r="CO162" s="606"/>
      <c r="CP162" s="606"/>
      <c r="CQ162" s="606"/>
      <c r="CR162" s="606"/>
      <c r="CS162" s="606"/>
      <c r="CT162" s="606"/>
      <c r="CU162" s="606"/>
      <c r="CV162" s="606"/>
      <c r="CW162" s="606"/>
      <c r="CX162" s="606"/>
      <c r="CY162" s="606"/>
      <c r="CZ162" s="606"/>
      <c r="DA162" s="606"/>
      <c r="DB162" s="606"/>
      <c r="DC162" s="606"/>
      <c r="DD162" s="606"/>
      <c r="DE162" s="606"/>
      <c r="DF162" s="606"/>
      <c r="DG162" s="606"/>
      <c r="DH162" s="606"/>
      <c r="DI162" s="606"/>
      <c r="DJ162" s="606"/>
      <c r="DK162" s="606"/>
      <c r="DL162" s="606"/>
      <c r="DM162" s="606"/>
      <c r="DN162" s="606"/>
      <c r="DO162" s="606"/>
      <c r="DP162" s="606"/>
      <c r="DQ162" s="606"/>
      <c r="DR162" s="606"/>
      <c r="DS162" s="606"/>
      <c r="DT162" s="606"/>
      <c r="DU162" s="606"/>
      <c r="DV162" s="606"/>
      <c r="DW162" s="606"/>
      <c r="DX162" s="606"/>
    </row>
    <row r="163" spans="1:128" ht="15.75" customHeight="1" thickBot="1" x14ac:dyDescent="0.3">
      <c r="A163" s="1"/>
      <c r="B163" s="504"/>
      <c r="C163" s="681" t="s">
        <v>224</v>
      </c>
      <c r="D163" s="52" t="s">
        <v>202</v>
      </c>
      <c r="E163" s="507"/>
      <c r="F163" s="507"/>
      <c r="G163" s="17"/>
      <c r="H163" s="52"/>
      <c r="I163" s="53"/>
      <c r="J163" s="6"/>
      <c r="K163" s="325"/>
      <c r="L163" s="376" t="s">
        <v>6</v>
      </c>
      <c r="M163" s="444" t="s">
        <v>67</v>
      </c>
      <c r="N163" s="444"/>
      <c r="O163" s="443"/>
      <c r="P163" s="296" t="s">
        <v>366</v>
      </c>
      <c r="Q163" s="296"/>
      <c r="R163" s="296"/>
      <c r="S163" s="482" t="s">
        <v>394</v>
      </c>
      <c r="T163" s="482"/>
      <c r="U163" s="465">
        <f>(BS82*BT82)+(BS83*BT83)</f>
        <v>800</v>
      </c>
      <c r="V163" s="315"/>
      <c r="W163" s="1"/>
      <c r="X163" s="470"/>
      <c r="Y163" s="470"/>
      <c r="Z163" s="470"/>
      <c r="AA163" s="470"/>
      <c r="AB163" s="470"/>
      <c r="AC163" s="470"/>
      <c r="AD163" s="470"/>
      <c r="AE163" s="470"/>
      <c r="AF163" s="470"/>
      <c r="AG163" s="470"/>
      <c r="AH163" s="470"/>
      <c r="AI163" s="470"/>
      <c r="AJ163" s="470"/>
      <c r="AK163" s="470"/>
      <c r="AL163" s="470"/>
      <c r="AM163" s="470"/>
      <c r="AN163" s="470"/>
      <c r="AO163" s="470"/>
      <c r="AP163" s="470"/>
      <c r="AQ163" s="470"/>
      <c r="AR163" s="470"/>
      <c r="AS163" s="470"/>
      <c r="AT163" s="470"/>
      <c r="AU163" s="470"/>
      <c r="AV163" s="470"/>
      <c r="AW163" s="470"/>
      <c r="AX163" s="470"/>
      <c r="AY163" s="470"/>
      <c r="AZ163" s="470"/>
      <c r="BA163" s="470"/>
      <c r="BB163" s="470"/>
      <c r="BC163" s="470"/>
      <c r="BD163" s="470"/>
      <c r="BE163" s="470"/>
      <c r="BF163" s="470"/>
      <c r="BG163" s="470"/>
      <c r="BH163" s="470"/>
      <c r="BI163" s="470"/>
      <c r="BJ163" s="470"/>
      <c r="BK163" s="800"/>
      <c r="BL163" s="865"/>
      <c r="BM163" s="865"/>
      <c r="BN163" s="865"/>
      <c r="BO163" s="940"/>
      <c r="BP163" s="865"/>
      <c r="BQ163" s="865"/>
      <c r="BR163" s="865"/>
      <c r="BS163" s="865"/>
      <c r="BT163" s="865"/>
      <c r="BU163" s="865"/>
      <c r="BV163" s="865"/>
      <c r="BW163" s="865"/>
      <c r="BX163" s="865"/>
      <c r="BY163" s="865"/>
      <c r="BZ163" s="865"/>
      <c r="CA163" s="865"/>
      <c r="CB163" s="865"/>
      <c r="CC163" s="865"/>
      <c r="CD163" s="865"/>
      <c r="CE163" s="606"/>
      <c r="CF163" s="606"/>
      <c r="CG163" s="606"/>
      <c r="CH163" s="606"/>
      <c r="CI163" s="606"/>
      <c r="CJ163" s="606"/>
      <c r="CK163" s="606"/>
      <c r="CL163" s="606"/>
      <c r="CM163" s="606"/>
      <c r="CN163" s="606"/>
      <c r="CO163" s="606"/>
      <c r="CP163" s="606"/>
      <c r="CQ163" s="606"/>
      <c r="CR163" s="606"/>
      <c r="CS163" s="606"/>
      <c r="CT163" s="606"/>
      <c r="CU163" s="606"/>
      <c r="CV163" s="606"/>
      <c r="CW163" s="606"/>
      <c r="CX163" s="606"/>
      <c r="CY163" s="606"/>
      <c r="CZ163" s="606"/>
      <c r="DA163" s="606"/>
      <c r="DB163" s="606"/>
      <c r="DC163" s="606"/>
      <c r="DD163" s="606"/>
      <c r="DE163" s="606"/>
      <c r="DF163" s="606"/>
      <c r="DG163" s="606"/>
      <c r="DH163" s="606"/>
      <c r="DI163" s="606"/>
      <c r="DJ163" s="606"/>
      <c r="DK163" s="606"/>
      <c r="DL163" s="606"/>
      <c r="DM163" s="606"/>
      <c r="DN163" s="606"/>
      <c r="DO163" s="606"/>
      <c r="DP163" s="606"/>
      <c r="DQ163" s="606"/>
      <c r="DR163" s="606"/>
      <c r="DS163" s="606"/>
      <c r="DT163" s="606"/>
      <c r="DU163" s="606"/>
      <c r="DV163" s="606"/>
      <c r="DW163" s="606"/>
      <c r="DX163" s="606"/>
    </row>
    <row r="164" spans="1:128" ht="15.75" customHeight="1" x14ac:dyDescent="0.25">
      <c r="A164" s="1"/>
      <c r="B164" s="504"/>
      <c r="C164" s="681" t="s">
        <v>224</v>
      </c>
      <c r="D164" s="52" t="s">
        <v>225</v>
      </c>
      <c r="E164" s="507"/>
      <c r="F164" s="507"/>
      <c r="G164" s="17"/>
      <c r="H164" s="52"/>
      <c r="I164" s="53"/>
      <c r="J164" s="6"/>
      <c r="K164" s="325"/>
      <c r="L164" s="376"/>
      <c r="M164" s="444"/>
      <c r="N164" s="444"/>
      <c r="O164" s="443"/>
      <c r="P164" s="443"/>
      <c r="Q164" s="296"/>
      <c r="R164" s="296"/>
      <c r="S164" s="482"/>
      <c r="T164" s="482"/>
      <c r="U164" s="492"/>
      <c r="V164" s="315"/>
      <c r="W164" s="1"/>
      <c r="X164" s="470"/>
      <c r="Y164" s="470"/>
      <c r="Z164" s="470"/>
      <c r="AA164" s="470"/>
      <c r="AB164" s="470"/>
      <c r="AC164" s="470"/>
      <c r="AD164" s="470"/>
      <c r="AE164" s="470"/>
      <c r="AF164" s="470"/>
      <c r="AG164" s="470"/>
      <c r="AH164" s="470"/>
      <c r="AI164" s="470"/>
      <c r="AJ164" s="470"/>
      <c r="AK164" s="470"/>
      <c r="AL164" s="470"/>
      <c r="AM164" s="470"/>
      <c r="AN164" s="470"/>
      <c r="AO164" s="470"/>
      <c r="AP164" s="470"/>
      <c r="AQ164" s="470"/>
      <c r="AR164" s="470"/>
      <c r="AS164" s="470"/>
      <c r="AT164" s="470"/>
      <c r="AU164" s="470"/>
      <c r="AV164" s="470"/>
      <c r="AW164" s="470"/>
      <c r="AX164" s="470"/>
      <c r="AY164" s="470"/>
      <c r="AZ164" s="470"/>
      <c r="BA164" s="470"/>
      <c r="BB164" s="470"/>
      <c r="BC164" s="470"/>
      <c r="BD164" s="470"/>
      <c r="BE164" s="470"/>
      <c r="BF164" s="470"/>
      <c r="BG164" s="470"/>
      <c r="BH164" s="470"/>
      <c r="BI164" s="470"/>
      <c r="BJ164" s="470"/>
      <c r="BK164" s="800"/>
      <c r="BL164" s="865"/>
      <c r="BM164" s="865"/>
      <c r="BN164" s="865"/>
      <c r="BO164" s="940"/>
      <c r="BP164" s="865"/>
      <c r="BQ164" s="865"/>
      <c r="BR164" s="865"/>
      <c r="BS164" s="865"/>
      <c r="BT164" s="865"/>
      <c r="BU164" s="865"/>
      <c r="BV164" s="865"/>
      <c r="BW164" s="865"/>
      <c r="BX164" s="865"/>
      <c r="BY164" s="865"/>
      <c r="BZ164" s="865"/>
      <c r="CA164" s="865"/>
      <c r="CB164" s="865"/>
      <c r="CC164" s="865"/>
      <c r="CD164" s="865"/>
      <c r="CE164" s="606"/>
      <c r="CF164" s="606"/>
      <c r="CG164" s="606"/>
      <c r="CH164" s="606"/>
      <c r="CI164" s="606"/>
      <c r="CJ164" s="606"/>
      <c r="CK164" s="606"/>
      <c r="CL164" s="606"/>
      <c r="CM164" s="606"/>
      <c r="CN164" s="606"/>
      <c r="CO164" s="606"/>
      <c r="CP164" s="606"/>
      <c r="CQ164" s="606"/>
      <c r="CR164" s="606"/>
      <c r="CS164" s="606"/>
      <c r="CT164" s="606"/>
      <c r="CU164" s="606"/>
      <c r="CV164" s="606"/>
      <c r="CW164" s="606"/>
      <c r="CX164" s="606"/>
      <c r="CY164" s="606"/>
      <c r="CZ164" s="606"/>
      <c r="DA164" s="606"/>
      <c r="DB164" s="606"/>
      <c r="DC164" s="606"/>
      <c r="DD164" s="606"/>
      <c r="DE164" s="606"/>
      <c r="DF164" s="606"/>
      <c r="DG164" s="606"/>
      <c r="DH164" s="606"/>
      <c r="DI164" s="606"/>
      <c r="DJ164" s="606"/>
      <c r="DK164" s="606"/>
      <c r="DL164" s="606"/>
      <c r="DM164" s="606"/>
      <c r="DN164" s="606"/>
      <c r="DO164" s="606"/>
      <c r="DP164" s="606"/>
      <c r="DQ164" s="606"/>
      <c r="DR164" s="606"/>
      <c r="DS164" s="606"/>
      <c r="DT164" s="606"/>
      <c r="DU164" s="606"/>
      <c r="DV164" s="606"/>
      <c r="DW164" s="606"/>
      <c r="DX164" s="606"/>
    </row>
    <row r="165" spans="1:128" ht="15.75" customHeight="1" x14ac:dyDescent="0.25">
      <c r="A165" s="1"/>
      <c r="B165" s="15"/>
      <c r="C165" s="514"/>
      <c r="D165" s="52"/>
      <c r="E165" s="17"/>
      <c r="F165" s="17"/>
      <c r="G165" s="17"/>
      <c r="H165" s="52"/>
      <c r="I165" s="53"/>
      <c r="J165" s="6"/>
      <c r="K165" s="325"/>
      <c r="L165" s="376"/>
      <c r="M165" s="296"/>
      <c r="N165" s="443"/>
      <c r="O165" s="443"/>
      <c r="P165" s="443"/>
      <c r="Q165" s="443"/>
      <c r="R165" s="443"/>
      <c r="S165" s="296"/>
      <c r="T165" s="25"/>
      <c r="U165" s="448"/>
      <c r="V165" s="315"/>
      <c r="W165" s="1"/>
      <c r="X165" s="470"/>
      <c r="Y165" s="470"/>
      <c r="Z165" s="470"/>
      <c r="AA165" s="470"/>
      <c r="AB165" s="470"/>
      <c r="AC165" s="470"/>
      <c r="AD165" s="470"/>
      <c r="AE165" s="470"/>
      <c r="AF165" s="470"/>
      <c r="AG165" s="470"/>
      <c r="AH165" s="470"/>
      <c r="AI165" s="470"/>
      <c r="AJ165" s="470"/>
      <c r="AK165" s="470"/>
      <c r="AL165" s="470"/>
      <c r="AM165" s="470"/>
      <c r="AN165" s="470"/>
      <c r="AO165" s="470"/>
      <c r="AP165" s="470"/>
      <c r="AQ165" s="470"/>
      <c r="AR165" s="470"/>
      <c r="AS165" s="470"/>
      <c r="AT165" s="470"/>
      <c r="AU165" s="470"/>
      <c r="AV165" s="470"/>
      <c r="AW165" s="470"/>
      <c r="AX165" s="470"/>
      <c r="AY165" s="470"/>
      <c r="AZ165" s="470"/>
      <c r="BA165" s="470"/>
      <c r="BB165" s="470"/>
      <c r="BC165" s="470"/>
      <c r="BD165" s="470"/>
      <c r="BE165" s="470"/>
      <c r="BF165" s="470"/>
      <c r="BG165" s="470"/>
      <c r="BH165" s="470"/>
      <c r="BI165" s="470"/>
      <c r="BJ165" s="470"/>
      <c r="BK165" s="800"/>
      <c r="BL165" s="865"/>
      <c r="BM165" s="865"/>
      <c r="BN165" s="865"/>
      <c r="BO165" s="940"/>
      <c r="BP165" s="865"/>
      <c r="BQ165" s="865"/>
      <c r="BR165" s="865"/>
      <c r="BS165" s="865"/>
      <c r="BT165" s="865"/>
      <c r="BU165" s="865"/>
      <c r="BV165" s="865"/>
      <c r="BW165" s="865"/>
      <c r="BX165" s="865"/>
      <c r="BY165" s="865"/>
      <c r="BZ165" s="865"/>
      <c r="CA165" s="865"/>
      <c r="CB165" s="865"/>
      <c r="CC165" s="865"/>
      <c r="CD165" s="865"/>
      <c r="CE165" s="606"/>
      <c r="CF165" s="606"/>
      <c r="CG165" s="606"/>
      <c r="CH165" s="606"/>
      <c r="CI165" s="606"/>
      <c r="CJ165" s="606"/>
      <c r="CK165" s="606"/>
      <c r="CL165" s="606"/>
      <c r="CM165" s="606"/>
      <c r="CN165" s="606"/>
      <c r="CO165" s="606"/>
      <c r="CP165" s="606"/>
      <c r="CQ165" s="606"/>
      <c r="CR165" s="606"/>
      <c r="CS165" s="606"/>
      <c r="CT165" s="606"/>
      <c r="CU165" s="606"/>
      <c r="CV165" s="606"/>
      <c r="CW165" s="606"/>
      <c r="CX165" s="606"/>
      <c r="CY165" s="606"/>
      <c r="CZ165" s="606"/>
      <c r="DA165" s="606"/>
      <c r="DB165" s="606"/>
      <c r="DC165" s="606"/>
      <c r="DD165" s="606"/>
      <c r="DE165" s="606"/>
      <c r="DF165" s="606"/>
      <c r="DG165" s="606"/>
      <c r="DH165" s="606"/>
      <c r="DI165" s="606"/>
      <c r="DJ165" s="606"/>
      <c r="DK165" s="606"/>
      <c r="DL165" s="606"/>
      <c r="DM165" s="606"/>
      <c r="DN165" s="606"/>
      <c r="DO165" s="606"/>
      <c r="DP165" s="606"/>
      <c r="DQ165" s="606"/>
      <c r="DR165" s="606"/>
      <c r="DS165" s="606"/>
      <c r="DT165" s="606"/>
      <c r="DU165" s="606"/>
      <c r="DV165" s="606"/>
      <c r="DW165" s="606"/>
      <c r="DX165" s="606"/>
    </row>
    <row r="166" spans="1:128" ht="15.75" customHeight="1" thickBot="1" x14ac:dyDescent="0.3">
      <c r="A166" s="1"/>
      <c r="B166" s="15"/>
      <c r="C166" s="514"/>
      <c r="D166" s="52" t="s">
        <v>279</v>
      </c>
      <c r="E166" s="17"/>
      <c r="F166" s="17"/>
      <c r="G166" s="17"/>
      <c r="H166" s="52"/>
      <c r="I166" s="53"/>
      <c r="J166" s="6"/>
      <c r="K166" s="325"/>
      <c r="L166" s="376" t="s">
        <v>22</v>
      </c>
      <c r="M166" s="296" t="s">
        <v>416</v>
      </c>
      <c r="N166" s="443"/>
      <c r="O166" s="443"/>
      <c r="P166" s="443"/>
      <c r="Q166" s="443"/>
      <c r="R166" s="486"/>
      <c r="S166" s="486"/>
      <c r="T166" s="645"/>
      <c r="U166" s="486"/>
      <c r="V166" s="315"/>
      <c r="W166" s="1"/>
      <c r="X166" s="470"/>
      <c r="Y166" s="470"/>
      <c r="Z166" s="470"/>
      <c r="AA166" s="470"/>
      <c r="AB166" s="470"/>
      <c r="AC166" s="470"/>
      <c r="AD166" s="470"/>
      <c r="AE166" s="470"/>
      <c r="AF166" s="470"/>
      <c r="AG166" s="470"/>
      <c r="AH166" s="470"/>
      <c r="AI166" s="470"/>
      <c r="AJ166" s="470"/>
      <c r="AK166" s="470"/>
      <c r="AL166" s="470"/>
      <c r="AM166" s="470"/>
      <c r="AN166" s="470"/>
      <c r="AO166" s="470"/>
      <c r="AP166" s="470"/>
      <c r="AQ166" s="470"/>
      <c r="AR166" s="470"/>
      <c r="AS166" s="470"/>
      <c r="AT166" s="470"/>
      <c r="AU166" s="470"/>
      <c r="AV166" s="470"/>
      <c r="AW166" s="470"/>
      <c r="AX166" s="470"/>
      <c r="AY166" s="470"/>
      <c r="AZ166" s="470"/>
      <c r="BA166" s="470"/>
      <c r="BB166" s="470"/>
      <c r="BC166" s="470"/>
      <c r="BD166" s="470"/>
      <c r="BE166" s="470"/>
      <c r="BF166" s="470"/>
      <c r="BG166" s="470"/>
      <c r="BH166" s="470"/>
      <c r="BI166" s="470"/>
      <c r="BJ166" s="470"/>
      <c r="BK166" s="800"/>
      <c r="BL166" s="865"/>
      <c r="BM166" s="865"/>
      <c r="BN166" s="865"/>
      <c r="BO166" s="940"/>
      <c r="BP166" s="865"/>
      <c r="BQ166" s="865"/>
      <c r="BR166" s="865"/>
      <c r="BS166" s="865"/>
      <c r="BT166" s="865"/>
      <c r="BU166" s="865"/>
      <c r="BV166" s="865"/>
      <c r="BW166" s="865"/>
      <c r="BX166" s="865"/>
      <c r="BY166" s="865"/>
      <c r="BZ166" s="865"/>
      <c r="CA166" s="865"/>
      <c r="CB166" s="865"/>
      <c r="CC166" s="865"/>
      <c r="CD166" s="865"/>
      <c r="CE166" s="606"/>
      <c r="CF166" s="606"/>
      <c r="CG166" s="606"/>
      <c r="CH166" s="606"/>
      <c r="CI166" s="606"/>
      <c r="CJ166" s="606"/>
      <c r="CK166" s="606"/>
      <c r="CL166" s="606"/>
      <c r="CM166" s="606"/>
      <c r="CN166" s="606"/>
      <c r="CO166" s="606"/>
      <c r="CP166" s="606"/>
      <c r="CQ166" s="606"/>
      <c r="CR166" s="606"/>
      <c r="CS166" s="606"/>
      <c r="CT166" s="606"/>
      <c r="CU166" s="606"/>
      <c r="CV166" s="606"/>
      <c r="CW166" s="606"/>
      <c r="CX166" s="606"/>
      <c r="CY166" s="606"/>
      <c r="CZ166" s="606"/>
      <c r="DA166" s="606"/>
      <c r="DB166" s="606"/>
      <c r="DC166" s="606"/>
      <c r="DD166" s="606"/>
      <c r="DE166" s="606"/>
      <c r="DF166" s="606"/>
      <c r="DG166" s="606"/>
      <c r="DH166" s="606"/>
      <c r="DI166" s="606"/>
      <c r="DJ166" s="606"/>
      <c r="DK166" s="606"/>
      <c r="DL166" s="606"/>
      <c r="DM166" s="606"/>
      <c r="DN166" s="606"/>
      <c r="DO166" s="606"/>
      <c r="DP166" s="606"/>
      <c r="DQ166" s="606"/>
      <c r="DR166" s="606"/>
      <c r="DS166" s="606"/>
      <c r="DT166" s="606"/>
      <c r="DU166" s="606"/>
      <c r="DV166" s="606"/>
      <c r="DW166" s="606"/>
      <c r="DX166" s="606"/>
    </row>
    <row r="167" spans="1:128" ht="15.75" customHeight="1" thickBot="1" x14ac:dyDescent="0.3">
      <c r="A167" s="1"/>
      <c r="B167" s="15"/>
      <c r="C167" s="514"/>
      <c r="D167" s="52"/>
      <c r="E167" s="17"/>
      <c r="F167" s="17"/>
      <c r="G167" s="17"/>
      <c r="H167" s="52"/>
      <c r="I167" s="53"/>
      <c r="J167" s="6"/>
      <c r="K167" s="325"/>
      <c r="L167" s="376"/>
      <c r="M167" s="296" t="s">
        <v>420</v>
      </c>
      <c r="N167" s="443"/>
      <c r="O167" s="443"/>
      <c r="P167" s="443"/>
      <c r="Q167" s="443"/>
      <c r="R167" s="524" t="s">
        <v>385</v>
      </c>
      <c r="S167" s="443"/>
      <c r="T167" s="620" t="s">
        <v>310</v>
      </c>
      <c r="U167" s="464">
        <v>0.06</v>
      </c>
      <c r="V167" s="315"/>
      <c r="W167" s="1"/>
      <c r="X167" s="470"/>
      <c r="Y167" s="470"/>
      <c r="Z167" s="470"/>
      <c r="AA167" s="470"/>
      <c r="AB167" s="470"/>
      <c r="AC167" s="470"/>
      <c r="AD167" s="470"/>
      <c r="AE167" s="470"/>
      <c r="AF167" s="470"/>
      <c r="AG167" s="470"/>
      <c r="AH167" s="470"/>
      <c r="AI167" s="470"/>
      <c r="AJ167" s="470"/>
      <c r="AK167" s="470"/>
      <c r="AL167" s="470"/>
      <c r="AM167" s="470"/>
      <c r="AN167" s="470"/>
      <c r="AO167" s="470"/>
      <c r="AP167" s="470"/>
      <c r="AQ167" s="470"/>
      <c r="AR167" s="470"/>
      <c r="AS167" s="470"/>
      <c r="AT167" s="470"/>
      <c r="AU167" s="470"/>
      <c r="AV167" s="470"/>
      <c r="AW167" s="470"/>
      <c r="AX167" s="470"/>
      <c r="AY167" s="470"/>
      <c r="AZ167" s="470"/>
      <c r="BA167" s="470"/>
      <c r="BB167" s="470"/>
      <c r="BC167" s="470"/>
      <c r="BD167" s="470"/>
      <c r="BE167" s="470"/>
      <c r="BF167" s="470"/>
      <c r="BG167" s="470"/>
      <c r="BH167" s="470"/>
      <c r="BI167" s="470"/>
      <c r="BJ167" s="470"/>
      <c r="BK167" s="800"/>
      <c r="BL167" s="865"/>
      <c r="BM167" s="865"/>
      <c r="BN167" s="865"/>
      <c r="BO167" s="865"/>
      <c r="BP167" s="865"/>
      <c r="BQ167" s="865"/>
      <c r="BR167" s="865"/>
      <c r="BS167" s="865"/>
      <c r="BT167" s="865"/>
      <c r="BU167" s="865"/>
      <c r="BV167" s="865"/>
      <c r="BW167" s="865"/>
      <c r="BX167" s="865"/>
      <c r="BY167" s="865"/>
      <c r="BZ167" s="865"/>
      <c r="CA167" s="865"/>
      <c r="CB167" s="865"/>
      <c r="CC167" s="865"/>
      <c r="CD167" s="865"/>
      <c r="CE167" s="606"/>
      <c r="CF167" s="606"/>
      <c r="CG167" s="606"/>
      <c r="CH167" s="606"/>
      <c r="CI167" s="606"/>
      <c r="CJ167" s="606"/>
      <c r="CK167" s="606"/>
      <c r="CL167" s="606"/>
      <c r="CM167" s="606"/>
      <c r="CN167" s="606"/>
      <c r="CO167" s="606"/>
      <c r="CP167" s="606"/>
      <c r="CQ167" s="606"/>
      <c r="CR167" s="606"/>
      <c r="CS167" s="606"/>
      <c r="CT167" s="606"/>
      <c r="CU167" s="606"/>
      <c r="CV167" s="606"/>
      <c r="CW167" s="606"/>
      <c r="CX167" s="606"/>
      <c r="CY167" s="606"/>
      <c r="CZ167" s="606"/>
      <c r="DA167" s="606"/>
      <c r="DB167" s="606"/>
      <c r="DC167" s="606"/>
      <c r="DD167" s="606"/>
      <c r="DE167" s="606"/>
      <c r="DF167" s="606"/>
      <c r="DG167" s="606"/>
      <c r="DH167" s="606"/>
      <c r="DI167" s="606"/>
      <c r="DJ167" s="606"/>
      <c r="DK167" s="606"/>
      <c r="DL167" s="606"/>
      <c r="DM167" s="606"/>
      <c r="DN167" s="606"/>
      <c r="DO167" s="606"/>
      <c r="DP167" s="606"/>
      <c r="DQ167" s="606"/>
      <c r="DR167" s="606"/>
      <c r="DS167" s="606"/>
      <c r="DT167" s="606"/>
      <c r="DU167" s="606"/>
      <c r="DV167" s="606"/>
      <c r="DW167" s="606"/>
      <c r="DX167" s="606"/>
    </row>
    <row r="168" spans="1:128" ht="15.75" customHeight="1" x14ac:dyDescent="0.25">
      <c r="A168" s="1"/>
      <c r="B168" s="511"/>
      <c r="C168" s="77" t="s">
        <v>239</v>
      </c>
      <c r="D168" s="52" t="s">
        <v>206</v>
      </c>
      <c r="E168" s="17"/>
      <c r="F168" s="17"/>
      <c r="G168" s="17"/>
      <c r="H168" s="52"/>
      <c r="I168" s="53"/>
      <c r="J168" s="6"/>
      <c r="K168" s="325"/>
      <c r="L168" s="376"/>
      <c r="M168" s="296"/>
      <c r="N168" s="443"/>
      <c r="O168" s="443"/>
      <c r="P168" s="443"/>
      <c r="Q168" s="443"/>
      <c r="R168" s="443"/>
      <c r="S168" s="24"/>
      <c r="T168" s="296"/>
      <c r="U168" s="493"/>
      <c r="V168" s="315"/>
      <c r="W168" s="1"/>
      <c r="X168" s="470"/>
      <c r="Y168" s="470"/>
      <c r="Z168" s="470"/>
      <c r="AA168" s="470"/>
      <c r="AB168" s="470"/>
      <c r="AC168" s="470"/>
      <c r="AD168" s="470"/>
      <c r="AE168" s="470"/>
      <c r="AF168" s="470"/>
      <c r="AG168" s="470"/>
      <c r="AH168" s="470"/>
      <c r="AI168" s="470"/>
      <c r="AJ168" s="470"/>
      <c r="AK168" s="470"/>
      <c r="AL168" s="470"/>
      <c r="AM168" s="470"/>
      <c r="AN168" s="470"/>
      <c r="AO168" s="470"/>
      <c r="AP168" s="470"/>
      <c r="AQ168" s="470"/>
      <c r="AR168" s="470"/>
      <c r="AS168" s="470"/>
      <c r="AT168" s="470"/>
      <c r="AU168" s="470"/>
      <c r="AV168" s="470"/>
      <c r="AW168" s="470"/>
      <c r="AX168" s="470"/>
      <c r="AY168" s="470"/>
      <c r="AZ168" s="470"/>
      <c r="BA168" s="470"/>
      <c r="BB168" s="470"/>
      <c r="BC168" s="470"/>
      <c r="BD168" s="470"/>
      <c r="BE168" s="470"/>
      <c r="BF168" s="470"/>
      <c r="BG168" s="470"/>
      <c r="BH168" s="470"/>
      <c r="BI168" s="470"/>
      <c r="BJ168" s="470"/>
      <c r="BK168" s="800"/>
      <c r="BL168" s="865"/>
      <c r="BM168" s="865"/>
      <c r="BN168" s="865"/>
      <c r="BO168" s="865"/>
      <c r="BP168" s="865"/>
      <c r="BQ168" s="865"/>
      <c r="BR168" s="865"/>
      <c r="BS168" s="865"/>
      <c r="BT168" s="865"/>
      <c r="BU168" s="865"/>
      <c r="BV168" s="865"/>
      <c r="BW168" s="865"/>
      <c r="BX168" s="865"/>
      <c r="BY168" s="865"/>
      <c r="BZ168" s="865"/>
      <c r="CA168" s="865"/>
      <c r="CB168" s="865"/>
      <c r="CC168" s="865"/>
      <c r="CD168" s="865"/>
      <c r="CE168" s="606"/>
      <c r="CF168" s="606"/>
      <c r="CG168" s="606"/>
      <c r="CH168" s="606"/>
      <c r="CI168" s="606"/>
      <c r="CJ168" s="606"/>
      <c r="CK168" s="606"/>
      <c r="CL168" s="606"/>
      <c r="CM168" s="606"/>
      <c r="CN168" s="606"/>
      <c r="CO168" s="606"/>
      <c r="CP168" s="606"/>
      <c r="CQ168" s="606"/>
      <c r="CR168" s="606"/>
      <c r="CS168" s="606"/>
      <c r="CT168" s="606"/>
      <c r="CU168" s="606"/>
      <c r="CV168" s="606"/>
      <c r="CW168" s="606"/>
      <c r="CX168" s="606"/>
      <c r="CY168" s="606"/>
      <c r="CZ168" s="606"/>
      <c r="DA168" s="606"/>
      <c r="DB168" s="606"/>
      <c r="DC168" s="606"/>
      <c r="DD168" s="606"/>
      <c r="DE168" s="606"/>
      <c r="DF168" s="606"/>
      <c r="DG168" s="606"/>
      <c r="DH168" s="606"/>
      <c r="DI168" s="606"/>
      <c r="DJ168" s="606"/>
      <c r="DK168" s="606"/>
      <c r="DL168" s="606"/>
      <c r="DM168" s="606"/>
      <c r="DN168" s="606"/>
      <c r="DO168" s="606"/>
      <c r="DP168" s="606"/>
      <c r="DQ168" s="606"/>
      <c r="DR168" s="606"/>
      <c r="DS168" s="606"/>
      <c r="DT168" s="606"/>
      <c r="DU168" s="606"/>
      <c r="DV168" s="606"/>
      <c r="DW168" s="606"/>
      <c r="DX168" s="606"/>
    </row>
    <row r="169" spans="1:128" ht="15.75" customHeight="1" thickBot="1" x14ac:dyDescent="0.3">
      <c r="A169" s="1"/>
      <c r="B169" s="511"/>
      <c r="C169" s="77"/>
      <c r="D169" s="52" t="s">
        <v>205</v>
      </c>
      <c r="E169" s="17"/>
      <c r="F169" s="17"/>
      <c r="G169" s="17"/>
      <c r="H169" s="52"/>
      <c r="I169" s="53"/>
      <c r="J169" s="6"/>
      <c r="K169" s="325"/>
      <c r="L169" s="376"/>
      <c r="M169" s="296"/>
      <c r="N169" s="443"/>
      <c r="O169" s="443"/>
      <c r="P169" s="443"/>
      <c r="Q169" s="443"/>
      <c r="R169" s="443"/>
      <c r="S169" s="24"/>
      <c r="T169" s="296"/>
      <c r="U169" s="493"/>
      <c r="V169" s="315"/>
      <c r="W169" s="1"/>
      <c r="X169" s="470"/>
      <c r="Y169" s="470"/>
      <c r="Z169" s="470"/>
      <c r="AA169" s="470"/>
      <c r="AB169" s="470"/>
      <c r="AC169" s="470"/>
      <c r="AD169" s="470"/>
      <c r="AE169" s="470"/>
      <c r="AF169" s="470"/>
      <c r="AG169" s="470"/>
      <c r="AH169" s="470"/>
      <c r="AI169" s="470"/>
      <c r="AJ169" s="470"/>
      <c r="AK169" s="470"/>
      <c r="AL169" s="470"/>
      <c r="AM169" s="470"/>
      <c r="AN169" s="470"/>
      <c r="AO169" s="470"/>
      <c r="AP169" s="470"/>
      <c r="AQ169" s="470"/>
      <c r="AR169" s="470"/>
      <c r="AS169" s="470"/>
      <c r="AT169" s="470"/>
      <c r="AU169" s="470"/>
      <c r="AV169" s="470"/>
      <c r="AW169" s="470"/>
      <c r="AX169" s="470"/>
      <c r="AY169" s="470"/>
      <c r="AZ169" s="470"/>
      <c r="BA169" s="470"/>
      <c r="BB169" s="470"/>
      <c r="BC169" s="470"/>
      <c r="BD169" s="470"/>
      <c r="BE169" s="470"/>
      <c r="BF169" s="470"/>
      <c r="BG169" s="470"/>
      <c r="BH169" s="470"/>
      <c r="BI169" s="470"/>
      <c r="BJ169" s="470"/>
      <c r="BK169" s="800"/>
      <c r="BL169" s="865"/>
      <c r="BM169" s="865"/>
      <c r="BN169" s="857" t="s">
        <v>339</v>
      </c>
      <c r="BO169" s="924">
        <f>S233</f>
        <v>3</v>
      </c>
      <c r="BP169" s="865"/>
      <c r="BQ169" s="865"/>
      <c r="BR169" s="865"/>
      <c r="BS169" s="865"/>
      <c r="BT169" s="865"/>
      <c r="BU169" s="865"/>
      <c r="BV169" s="865"/>
      <c r="BW169" s="865"/>
      <c r="BX169" s="865"/>
      <c r="BY169" s="865"/>
      <c r="BZ169" s="865"/>
      <c r="CA169" s="865"/>
      <c r="CB169" s="865"/>
      <c r="CC169" s="865"/>
      <c r="CD169" s="865"/>
      <c r="CE169" s="606"/>
      <c r="CF169" s="606"/>
      <c r="CG169" s="606"/>
      <c r="CH169" s="606"/>
      <c r="CI169" s="606"/>
      <c r="CJ169" s="606"/>
      <c r="CK169" s="606"/>
      <c r="CL169" s="606"/>
      <c r="CM169" s="606"/>
      <c r="CN169" s="606"/>
      <c r="CO169" s="606"/>
      <c r="CP169" s="606"/>
      <c r="CQ169" s="606"/>
      <c r="CR169" s="606"/>
      <c r="CS169" s="606"/>
      <c r="CT169" s="606"/>
      <c r="CU169" s="606"/>
      <c r="CV169" s="606"/>
      <c r="CW169" s="606"/>
      <c r="CX169" s="606"/>
      <c r="CY169" s="606"/>
      <c r="CZ169" s="606"/>
      <c r="DA169" s="606"/>
      <c r="DB169" s="606"/>
      <c r="DC169" s="606"/>
      <c r="DD169" s="606"/>
      <c r="DE169" s="606"/>
      <c r="DF169" s="606"/>
      <c r="DG169" s="606"/>
      <c r="DH169" s="606"/>
      <c r="DI169" s="606"/>
      <c r="DJ169" s="606"/>
      <c r="DK169" s="606"/>
      <c r="DL169" s="606"/>
      <c r="DM169" s="606"/>
      <c r="DN169" s="606"/>
      <c r="DO169" s="606"/>
      <c r="DP169" s="606"/>
      <c r="DQ169" s="606"/>
      <c r="DR169" s="606"/>
      <c r="DS169" s="606"/>
      <c r="DT169" s="606"/>
      <c r="DU169" s="606"/>
      <c r="DV169" s="606"/>
      <c r="DW169" s="606"/>
      <c r="DX169" s="606"/>
    </row>
    <row r="170" spans="1:128" ht="15.75" customHeight="1" thickBot="1" x14ac:dyDescent="0.3">
      <c r="A170" s="1"/>
      <c r="B170" s="511"/>
      <c r="C170" s="77" t="s">
        <v>241</v>
      </c>
      <c r="D170" s="52" t="s">
        <v>240</v>
      </c>
      <c r="E170" s="17"/>
      <c r="F170" s="17"/>
      <c r="G170" s="17"/>
      <c r="H170" s="52"/>
      <c r="I170" s="53"/>
      <c r="J170" s="6"/>
      <c r="K170" s="325"/>
      <c r="L170" s="376" t="s">
        <v>29</v>
      </c>
      <c r="M170" s="296" t="s">
        <v>263</v>
      </c>
      <c r="N170" s="443"/>
      <c r="O170" s="443"/>
      <c r="P170" s="296" t="s">
        <v>365</v>
      </c>
      <c r="Q170" s="296"/>
      <c r="R170" s="296"/>
      <c r="S170" s="296" t="s">
        <v>393</v>
      </c>
      <c r="T170" s="296"/>
      <c r="U170" s="466">
        <f>(U163/1000)/(U167)</f>
        <v>13.333333333333334</v>
      </c>
      <c r="V170" s="315"/>
      <c r="W170" s="1"/>
      <c r="X170" s="470"/>
      <c r="Y170" s="470"/>
      <c r="Z170" s="470"/>
      <c r="AA170" s="470"/>
      <c r="AB170" s="470"/>
      <c r="AC170" s="470"/>
      <c r="AD170" s="470"/>
      <c r="AE170" s="470"/>
      <c r="AF170" s="470"/>
      <c r="AG170" s="470"/>
      <c r="AH170" s="470"/>
      <c r="AI170" s="470"/>
      <c r="AJ170" s="470"/>
      <c r="AK170" s="470"/>
      <c r="AL170" s="470"/>
      <c r="AM170" s="470"/>
      <c r="AN170" s="470"/>
      <c r="AO170" s="470"/>
      <c r="AP170" s="470"/>
      <c r="AQ170" s="470"/>
      <c r="AR170" s="470"/>
      <c r="AS170" s="470"/>
      <c r="AT170" s="470"/>
      <c r="AU170" s="470"/>
      <c r="AV170" s="470"/>
      <c r="AW170" s="470"/>
      <c r="AX170" s="470"/>
      <c r="AY170" s="470"/>
      <c r="AZ170" s="470"/>
      <c r="BA170" s="470"/>
      <c r="BB170" s="470"/>
      <c r="BC170" s="470"/>
      <c r="BD170" s="470"/>
      <c r="BE170" s="470"/>
      <c r="BF170" s="470"/>
      <c r="BG170" s="470"/>
      <c r="BH170" s="470"/>
      <c r="BI170" s="470"/>
      <c r="BJ170" s="470"/>
      <c r="BK170" s="800"/>
      <c r="BL170" s="865"/>
      <c r="BM170" s="865"/>
      <c r="BN170" s="857"/>
      <c r="BO170" s="865"/>
      <c r="BP170" s="865"/>
      <c r="BQ170" s="865"/>
      <c r="BR170" s="865"/>
      <c r="BS170" s="865"/>
      <c r="BT170" s="865"/>
      <c r="BU170" s="865"/>
      <c r="BV170" s="865"/>
      <c r="BW170" s="865"/>
      <c r="BX170" s="865"/>
      <c r="BY170" s="865"/>
      <c r="BZ170" s="865"/>
      <c r="CA170" s="865"/>
      <c r="CB170" s="865"/>
      <c r="CC170" s="865"/>
      <c r="CD170" s="865"/>
      <c r="CE170" s="606"/>
      <c r="CF170" s="606"/>
      <c r="CG170" s="606"/>
      <c r="CH170" s="606"/>
      <c r="CI170" s="606"/>
      <c r="CJ170" s="606"/>
      <c r="CK170" s="606"/>
      <c r="CL170" s="606"/>
      <c r="CM170" s="606"/>
      <c r="CN170" s="606"/>
      <c r="CO170" s="606"/>
      <c r="CP170" s="606"/>
      <c r="CQ170" s="606"/>
      <c r="CR170" s="606"/>
      <c r="CS170" s="606"/>
      <c r="CT170" s="606"/>
      <c r="CU170" s="606"/>
      <c r="CV170" s="606"/>
      <c r="CW170" s="606"/>
      <c r="CX170" s="606"/>
      <c r="CY170" s="606"/>
      <c r="CZ170" s="606"/>
      <c r="DA170" s="606"/>
      <c r="DB170" s="606"/>
      <c r="DC170" s="606"/>
      <c r="DD170" s="606"/>
      <c r="DE170" s="606"/>
      <c r="DF170" s="606"/>
      <c r="DG170" s="606"/>
      <c r="DH170" s="606"/>
      <c r="DI170" s="606"/>
      <c r="DJ170" s="606"/>
      <c r="DK170" s="606"/>
      <c r="DL170" s="606"/>
      <c r="DM170" s="606"/>
      <c r="DN170" s="606"/>
      <c r="DO170" s="606"/>
      <c r="DP170" s="606"/>
      <c r="DQ170" s="606"/>
      <c r="DR170" s="606"/>
      <c r="DS170" s="606"/>
      <c r="DT170" s="606"/>
      <c r="DU170" s="606"/>
      <c r="DV170" s="606"/>
      <c r="DW170" s="606"/>
      <c r="DX170" s="606"/>
    </row>
    <row r="171" spans="1:128" ht="15.75" customHeight="1" x14ac:dyDescent="0.25">
      <c r="A171" s="1"/>
      <c r="B171" s="511"/>
      <c r="C171" s="77"/>
      <c r="D171" s="52" t="s">
        <v>245</v>
      </c>
      <c r="E171" s="17"/>
      <c r="F171" s="17"/>
      <c r="G171" s="17"/>
      <c r="H171" s="52"/>
      <c r="I171" s="41"/>
      <c r="J171" s="6"/>
      <c r="K171" s="650"/>
      <c r="L171" s="376"/>
      <c r="M171" s="296"/>
      <c r="N171" s="443"/>
      <c r="O171" s="443"/>
      <c r="P171" s="443"/>
      <c r="Q171" s="296"/>
      <c r="R171" s="296"/>
      <c r="S171" s="296"/>
      <c r="T171" s="296"/>
      <c r="U171" s="446"/>
      <c r="V171" s="315"/>
      <c r="W171" s="1"/>
      <c r="X171" s="470"/>
      <c r="Y171" s="470"/>
      <c r="Z171" s="470"/>
      <c r="AA171" s="470"/>
      <c r="AB171" s="470"/>
      <c r="AC171" s="470"/>
      <c r="AD171" s="470"/>
      <c r="AE171" s="470"/>
      <c r="AF171" s="470"/>
      <c r="AG171" s="470"/>
      <c r="AH171" s="470"/>
      <c r="AI171" s="470"/>
      <c r="AJ171" s="470"/>
      <c r="AK171" s="470"/>
      <c r="AL171" s="470"/>
      <c r="AM171" s="470"/>
      <c r="AN171" s="470"/>
      <c r="AO171" s="470"/>
      <c r="AP171" s="470"/>
      <c r="AQ171" s="470"/>
      <c r="AR171" s="470"/>
      <c r="AS171" s="470"/>
      <c r="AT171" s="470"/>
      <c r="AU171" s="470"/>
      <c r="AV171" s="470"/>
      <c r="AW171" s="470"/>
      <c r="AX171" s="470"/>
      <c r="AY171" s="470"/>
      <c r="AZ171" s="470"/>
      <c r="BA171" s="470"/>
      <c r="BB171" s="470"/>
      <c r="BC171" s="470"/>
      <c r="BD171" s="470"/>
      <c r="BE171" s="470"/>
      <c r="BF171" s="470"/>
      <c r="BG171" s="470"/>
      <c r="BH171" s="470"/>
      <c r="BI171" s="470"/>
      <c r="BJ171" s="470"/>
      <c r="BK171" s="800"/>
      <c r="BL171" s="865"/>
      <c r="BM171" s="857"/>
      <c r="BN171" s="857"/>
      <c r="BO171" s="865"/>
      <c r="BP171" s="865"/>
      <c r="BQ171" s="865"/>
      <c r="BR171" s="865"/>
      <c r="BS171" s="865"/>
      <c r="BT171" s="865"/>
      <c r="BU171" s="865"/>
      <c r="BV171" s="865"/>
      <c r="BW171" s="865"/>
      <c r="BX171" s="865"/>
      <c r="BY171" s="865"/>
      <c r="BZ171" s="865"/>
      <c r="CA171" s="865"/>
      <c r="CB171" s="865"/>
      <c r="CC171" s="865"/>
      <c r="CD171" s="865"/>
      <c r="CE171" s="606"/>
      <c r="CF171" s="606"/>
      <c r="CG171" s="606"/>
      <c r="CH171" s="606"/>
      <c r="CI171" s="606"/>
      <c r="CJ171" s="606"/>
      <c r="CK171" s="606"/>
      <c r="CL171" s="606"/>
      <c r="CM171" s="606"/>
      <c r="CN171" s="606"/>
      <c r="CO171" s="606"/>
      <c r="CP171" s="606"/>
      <c r="CQ171" s="606"/>
      <c r="CR171" s="606"/>
      <c r="CS171" s="606"/>
      <c r="CT171" s="606"/>
      <c r="CU171" s="606"/>
      <c r="CV171" s="606"/>
      <c r="CW171" s="606"/>
      <c r="CX171" s="606"/>
      <c r="CY171" s="606"/>
      <c r="CZ171" s="606"/>
      <c r="DA171" s="606"/>
      <c r="DB171" s="606"/>
      <c r="DC171" s="606"/>
      <c r="DD171" s="606"/>
      <c r="DE171" s="606"/>
      <c r="DF171" s="606"/>
      <c r="DG171" s="606"/>
      <c r="DH171" s="606"/>
      <c r="DI171" s="606"/>
      <c r="DJ171" s="606"/>
      <c r="DK171" s="606"/>
      <c r="DL171" s="606"/>
      <c r="DM171" s="606"/>
      <c r="DN171" s="606"/>
      <c r="DO171" s="606"/>
      <c r="DP171" s="606"/>
      <c r="DQ171" s="606"/>
      <c r="DR171" s="606"/>
      <c r="DS171" s="606"/>
      <c r="DT171" s="606"/>
      <c r="DU171" s="606"/>
      <c r="DV171" s="606"/>
      <c r="DW171" s="606"/>
      <c r="DX171" s="606"/>
    </row>
    <row r="172" spans="1:128" ht="15.75" customHeight="1" thickBot="1" x14ac:dyDescent="0.3">
      <c r="A172" s="1"/>
      <c r="B172" s="511"/>
      <c r="C172" s="77" t="s">
        <v>230</v>
      </c>
      <c r="D172" s="77" t="s">
        <v>207</v>
      </c>
      <c r="E172" s="17"/>
      <c r="F172" s="17"/>
      <c r="G172" s="17"/>
      <c r="H172" s="38"/>
      <c r="I172" s="41"/>
      <c r="J172" s="6"/>
      <c r="K172" s="650"/>
      <c r="L172" s="376"/>
      <c r="M172" s="443"/>
      <c r="N172" s="443"/>
      <c r="O172" s="443"/>
      <c r="P172" s="443"/>
      <c r="Q172" s="443"/>
      <c r="R172" s="443"/>
      <c r="S172" s="296"/>
      <c r="T172" s="443"/>
      <c r="U172" s="443"/>
      <c r="V172" s="315"/>
      <c r="W172" s="1"/>
      <c r="X172" s="470"/>
      <c r="Y172" s="470"/>
      <c r="Z172" s="470"/>
      <c r="AA172" s="470"/>
      <c r="AB172" s="470"/>
      <c r="AC172" s="470"/>
      <c r="AD172" s="470"/>
      <c r="AE172" s="470"/>
      <c r="AF172" s="470"/>
      <c r="AG172" s="470"/>
      <c r="AH172" s="470"/>
      <c r="AI172" s="470"/>
      <c r="AJ172" s="470"/>
      <c r="AK172" s="470"/>
      <c r="AL172" s="470"/>
      <c r="AM172" s="470"/>
      <c r="AN172" s="470"/>
      <c r="AO172" s="470"/>
      <c r="AP172" s="470"/>
      <c r="AQ172" s="470"/>
      <c r="AR172" s="470"/>
      <c r="AS172" s="470"/>
      <c r="AT172" s="470"/>
      <c r="AU172" s="470"/>
      <c r="AV172" s="470"/>
      <c r="AW172" s="470"/>
      <c r="AX172" s="470"/>
      <c r="AY172" s="470"/>
      <c r="AZ172" s="470"/>
      <c r="BA172" s="470"/>
      <c r="BB172" s="470"/>
      <c r="BC172" s="470"/>
      <c r="BD172" s="470"/>
      <c r="BE172" s="470"/>
      <c r="BF172" s="470"/>
      <c r="BG172" s="470"/>
      <c r="BH172" s="470"/>
      <c r="BI172" s="470"/>
      <c r="BJ172" s="470"/>
      <c r="BK172" s="800"/>
      <c r="BL172" s="865"/>
      <c r="BM172" s="857"/>
      <c r="BN172" s="857"/>
      <c r="BO172" s="924"/>
      <c r="BP172" s="865"/>
      <c r="BQ172" s="865"/>
      <c r="BR172" s="865"/>
      <c r="BS172" s="865"/>
      <c r="BT172" s="865"/>
      <c r="BU172" s="865"/>
      <c r="BV172" s="865"/>
      <c r="BW172" s="865"/>
      <c r="BX172" s="865"/>
      <c r="BY172" s="865"/>
      <c r="BZ172" s="865"/>
      <c r="CA172" s="865"/>
      <c r="CB172" s="865"/>
      <c r="CC172" s="865"/>
      <c r="CD172" s="865"/>
      <c r="CE172" s="606"/>
      <c r="CF172" s="606"/>
      <c r="CG172" s="606"/>
      <c r="CH172" s="606"/>
      <c r="CI172" s="606"/>
      <c r="CJ172" s="606"/>
      <c r="CK172" s="606"/>
      <c r="CL172" s="606"/>
      <c r="CM172" s="606"/>
      <c r="CN172" s="606"/>
      <c r="CO172" s="606"/>
      <c r="CP172" s="606"/>
      <c r="CQ172" s="606"/>
      <c r="CR172" s="606"/>
      <c r="CS172" s="606"/>
      <c r="CT172" s="606"/>
      <c r="CU172" s="606"/>
      <c r="CV172" s="606"/>
      <c r="CW172" s="606"/>
      <c r="CX172" s="606"/>
      <c r="CY172" s="606"/>
      <c r="CZ172" s="606"/>
      <c r="DA172" s="606"/>
      <c r="DB172" s="606"/>
      <c r="DC172" s="606"/>
      <c r="DD172" s="606"/>
      <c r="DE172" s="606"/>
      <c r="DF172" s="606"/>
      <c r="DG172" s="606"/>
      <c r="DH172" s="606"/>
      <c r="DI172" s="606"/>
      <c r="DJ172" s="606"/>
      <c r="DK172" s="606"/>
      <c r="DL172" s="606"/>
      <c r="DM172" s="606"/>
      <c r="DN172" s="606"/>
      <c r="DO172" s="606"/>
      <c r="DP172" s="606"/>
      <c r="DQ172" s="606"/>
      <c r="DR172" s="606"/>
      <c r="DS172" s="606"/>
      <c r="DT172" s="606"/>
      <c r="DU172" s="606"/>
      <c r="DV172" s="606"/>
      <c r="DW172" s="606"/>
      <c r="DX172" s="606"/>
    </row>
    <row r="173" spans="1:128" ht="15.75" customHeight="1" thickBot="1" x14ac:dyDescent="0.3">
      <c r="A173" s="1"/>
      <c r="B173" s="511"/>
      <c r="C173" s="77" t="s">
        <v>231</v>
      </c>
      <c r="D173" s="77" t="s">
        <v>242</v>
      </c>
      <c r="E173" s="38"/>
      <c r="F173" s="38"/>
      <c r="G173" s="38"/>
      <c r="H173" s="38"/>
      <c r="I173" s="41"/>
      <c r="J173" s="6"/>
      <c r="K173" s="650"/>
      <c r="L173" s="376" t="s">
        <v>35</v>
      </c>
      <c r="M173" s="296" t="s">
        <v>217</v>
      </c>
      <c r="N173" s="443"/>
      <c r="O173" s="443"/>
      <c r="P173" s="443"/>
      <c r="Q173" s="434" t="s">
        <v>79</v>
      </c>
      <c r="R173" s="435" t="s">
        <v>384</v>
      </c>
      <c r="S173" s="434" t="s">
        <v>387</v>
      </c>
      <c r="T173" s="435" t="s">
        <v>388</v>
      </c>
      <c r="U173" s="435" t="s">
        <v>389</v>
      </c>
      <c r="V173" s="315"/>
      <c r="W173" s="1"/>
      <c r="X173" s="470"/>
      <c r="Y173" s="470"/>
      <c r="Z173" s="470"/>
      <c r="AA173" s="470"/>
      <c r="AB173" s="470"/>
      <c r="AC173" s="470"/>
      <c r="AD173" s="470"/>
      <c r="AE173" s="470"/>
      <c r="AF173" s="470"/>
      <c r="AG173" s="470"/>
      <c r="AH173" s="470"/>
      <c r="AI173" s="470"/>
      <c r="AJ173" s="470"/>
      <c r="AK173" s="470"/>
      <c r="AL173" s="470"/>
      <c r="AM173" s="470"/>
      <c r="AN173" s="470"/>
      <c r="AO173" s="470"/>
      <c r="AP173" s="470"/>
      <c r="AQ173" s="470"/>
      <c r="AR173" s="470"/>
      <c r="AS173" s="470"/>
      <c r="AT173" s="470"/>
      <c r="AU173" s="470"/>
      <c r="AV173" s="470"/>
      <c r="AW173" s="470"/>
      <c r="AX173" s="470"/>
      <c r="AY173" s="470"/>
      <c r="AZ173" s="470"/>
      <c r="BA173" s="470"/>
      <c r="BB173" s="470"/>
      <c r="BC173" s="470"/>
      <c r="BD173" s="470"/>
      <c r="BE173" s="470"/>
      <c r="BF173" s="470"/>
      <c r="BG173" s="470"/>
      <c r="BH173" s="470"/>
      <c r="BI173" s="470"/>
      <c r="BJ173" s="470"/>
      <c r="BK173" s="800"/>
      <c r="BL173" s="865"/>
      <c r="BM173" s="941">
        <f>S174+T174</f>
        <v>11.191949999999999</v>
      </c>
      <c r="BN173" s="857" t="s">
        <v>342</v>
      </c>
      <c r="BO173" s="865"/>
      <c r="BP173" s="865"/>
      <c r="BQ173" s="865"/>
      <c r="BR173" s="865"/>
      <c r="BS173" s="865"/>
      <c r="BT173" s="865"/>
      <c r="BU173" s="865"/>
      <c r="BV173" s="865"/>
      <c r="BW173" s="865"/>
      <c r="BX173" s="865"/>
      <c r="BY173" s="865"/>
      <c r="BZ173" s="865"/>
      <c r="CA173" s="865"/>
      <c r="CB173" s="865"/>
      <c r="CC173" s="865"/>
      <c r="CD173" s="865"/>
      <c r="CE173" s="606"/>
      <c r="CF173" s="606"/>
      <c r="CG173" s="606"/>
      <c r="CH173" s="606"/>
      <c r="CI173" s="606"/>
      <c r="CJ173" s="606"/>
      <c r="CK173" s="606"/>
      <c r="CL173" s="606"/>
      <c r="CM173" s="606"/>
      <c r="CN173" s="606"/>
      <c r="CO173" s="606"/>
      <c r="CP173" s="606"/>
      <c r="CQ173" s="606"/>
      <c r="CR173" s="606"/>
      <c r="CS173" s="606"/>
      <c r="CT173" s="606"/>
      <c r="CU173" s="606"/>
      <c r="CV173" s="606"/>
      <c r="CW173" s="606"/>
      <c r="CX173" s="606"/>
      <c r="CY173" s="606"/>
      <c r="CZ173" s="606"/>
      <c r="DA173" s="606"/>
      <c r="DB173" s="606"/>
      <c r="DC173" s="606"/>
      <c r="DD173" s="606"/>
      <c r="DE173" s="606"/>
      <c r="DF173" s="606"/>
      <c r="DG173" s="606"/>
      <c r="DH173" s="606"/>
      <c r="DI173" s="606"/>
      <c r="DJ173" s="606"/>
      <c r="DK173" s="606"/>
      <c r="DL173" s="606"/>
      <c r="DM173" s="606"/>
      <c r="DN173" s="606"/>
      <c r="DO173" s="606"/>
      <c r="DP173" s="606"/>
      <c r="DQ173" s="606"/>
      <c r="DR173" s="606"/>
      <c r="DS173" s="606"/>
      <c r="DT173" s="606"/>
      <c r="DU173" s="606"/>
      <c r="DV173" s="606"/>
      <c r="DW173" s="606"/>
      <c r="DX173" s="606"/>
    </row>
    <row r="174" spans="1:128" ht="15.75" customHeight="1" thickBot="1" x14ac:dyDescent="0.3">
      <c r="A174" s="1"/>
      <c r="B174" s="511"/>
      <c r="C174" s="77"/>
      <c r="D174" s="52" t="s">
        <v>274</v>
      </c>
      <c r="E174" s="38"/>
      <c r="F174" s="38"/>
      <c r="G174" s="38"/>
      <c r="H174" s="38"/>
      <c r="I174" s="41"/>
      <c r="J174" s="6"/>
      <c r="K174" s="650"/>
      <c r="L174" s="376"/>
      <c r="M174" s="296"/>
      <c r="N174" s="443"/>
      <c r="O174" s="452" t="s">
        <v>324</v>
      </c>
      <c r="P174" s="443"/>
      <c r="Q174" s="58">
        <v>2</v>
      </c>
      <c r="R174" s="812">
        <v>1.5</v>
      </c>
      <c r="S174" s="813">
        <f>((3.1416*R174*R174)/4)</f>
        <v>1.76715</v>
      </c>
      <c r="T174" s="519">
        <f>3.1416*R174*Q174</f>
        <v>9.4247999999999994</v>
      </c>
      <c r="U174" s="814">
        <f>BM174</f>
        <v>11.2</v>
      </c>
      <c r="V174" s="315"/>
      <c r="W174" s="1"/>
      <c r="X174" s="470"/>
      <c r="Y174" s="470"/>
      <c r="Z174" s="470"/>
      <c r="AA174" s="470"/>
      <c r="AB174" s="470"/>
      <c r="AC174" s="470"/>
      <c r="AD174" s="470"/>
      <c r="AE174" s="470"/>
      <c r="AF174" s="470"/>
      <c r="AG174" s="470"/>
      <c r="AH174" s="470"/>
      <c r="AI174" s="470"/>
      <c r="AJ174" s="470"/>
      <c r="AK174" s="470"/>
      <c r="AL174" s="470"/>
      <c r="AM174" s="470"/>
      <c r="AN174" s="470"/>
      <c r="AO174" s="470"/>
      <c r="AP174" s="470"/>
      <c r="AQ174" s="470"/>
      <c r="AR174" s="470"/>
      <c r="AS174" s="470"/>
      <c r="AT174" s="470"/>
      <c r="AU174" s="470"/>
      <c r="AV174" s="470"/>
      <c r="AW174" s="470"/>
      <c r="AX174" s="470"/>
      <c r="AY174" s="470"/>
      <c r="AZ174" s="470"/>
      <c r="BA174" s="470"/>
      <c r="BB174" s="470"/>
      <c r="BC174" s="470"/>
      <c r="BD174" s="470"/>
      <c r="BE174" s="470"/>
      <c r="BF174" s="470"/>
      <c r="BG174" s="470"/>
      <c r="BH174" s="470"/>
      <c r="BI174" s="470"/>
      <c r="BJ174" s="470"/>
      <c r="BK174" s="800"/>
      <c r="BL174" s="865"/>
      <c r="BM174" s="941">
        <f>ROUNDUP(BM173,2)</f>
        <v>11.2</v>
      </c>
      <c r="BN174" s="857" t="s">
        <v>343</v>
      </c>
      <c r="BO174" s="865"/>
      <c r="BP174" s="865"/>
      <c r="BQ174" s="865"/>
      <c r="BR174" s="865"/>
      <c r="BS174" s="865"/>
      <c r="BT174" s="865"/>
      <c r="BU174" s="865"/>
      <c r="BV174" s="865"/>
      <c r="BW174" s="865"/>
      <c r="BX174" s="865"/>
      <c r="BY174" s="865"/>
      <c r="BZ174" s="865"/>
      <c r="CA174" s="865"/>
      <c r="CB174" s="865"/>
      <c r="CC174" s="865"/>
      <c r="CD174" s="865"/>
      <c r="CE174" s="606"/>
      <c r="CF174" s="606"/>
      <c r="CG174" s="606"/>
      <c r="CH174" s="606"/>
      <c r="CI174" s="606"/>
      <c r="CJ174" s="606"/>
      <c r="CK174" s="606"/>
      <c r="CL174" s="606"/>
      <c r="CM174" s="606"/>
      <c r="CN174" s="606"/>
      <c r="CO174" s="606"/>
      <c r="CP174" s="606"/>
      <c r="CQ174" s="606"/>
      <c r="CR174" s="606"/>
      <c r="CS174" s="606"/>
      <c r="CT174" s="606"/>
      <c r="CU174" s="606"/>
      <c r="CV174" s="606"/>
      <c r="CW174" s="606"/>
      <c r="CX174" s="606"/>
      <c r="CY174" s="606"/>
      <c r="CZ174" s="606"/>
      <c r="DA174" s="606"/>
      <c r="DB174" s="606"/>
      <c r="DC174" s="606"/>
      <c r="DD174" s="606"/>
      <c r="DE174" s="606"/>
      <c r="DF174" s="606"/>
      <c r="DG174" s="606"/>
      <c r="DH174" s="606"/>
      <c r="DI174" s="606"/>
      <c r="DJ174" s="606"/>
      <c r="DK174" s="606"/>
      <c r="DL174" s="606"/>
      <c r="DM174" s="606"/>
      <c r="DN174" s="606"/>
      <c r="DO174" s="606"/>
      <c r="DP174" s="606"/>
      <c r="DQ174" s="606"/>
      <c r="DR174" s="606"/>
      <c r="DS174" s="606"/>
      <c r="DT174" s="606"/>
      <c r="DU174" s="606"/>
      <c r="DV174" s="606"/>
      <c r="DW174" s="606"/>
      <c r="DX174" s="606"/>
    </row>
    <row r="175" spans="1:128" ht="15.75" customHeight="1" x14ac:dyDescent="0.25">
      <c r="A175" s="1"/>
      <c r="B175" s="511"/>
      <c r="C175" s="77" t="s">
        <v>243</v>
      </c>
      <c r="D175" s="52" t="s">
        <v>208</v>
      </c>
      <c r="E175" s="38"/>
      <c r="F175" s="38"/>
      <c r="G175" s="38"/>
      <c r="H175" s="52"/>
      <c r="I175" s="53"/>
      <c r="J175" s="6"/>
      <c r="K175" s="650"/>
      <c r="L175" s="376"/>
      <c r="M175" s="296"/>
      <c r="N175" s="443"/>
      <c r="O175" s="452"/>
      <c r="P175" s="443"/>
      <c r="Q175" s="494"/>
      <c r="R175" s="494"/>
      <c r="S175" s="469"/>
      <c r="T175" s="469"/>
      <c r="U175" s="495"/>
      <c r="V175" s="315"/>
      <c r="W175" s="1"/>
      <c r="X175" s="470"/>
      <c r="Y175" s="470"/>
      <c r="Z175" s="470"/>
      <c r="AA175" s="470"/>
      <c r="AB175" s="470"/>
      <c r="AC175" s="470"/>
      <c r="AD175" s="470"/>
      <c r="AE175" s="470"/>
      <c r="AF175" s="470"/>
      <c r="AG175" s="470"/>
      <c r="AH175" s="470"/>
      <c r="AI175" s="470"/>
      <c r="AJ175" s="470"/>
      <c r="AK175" s="470"/>
      <c r="AL175" s="470"/>
      <c r="AM175" s="470"/>
      <c r="AN175" s="470"/>
      <c r="AO175" s="470"/>
      <c r="AP175" s="470"/>
      <c r="AQ175" s="470"/>
      <c r="AR175" s="470"/>
      <c r="AS175" s="470"/>
      <c r="AT175" s="470"/>
      <c r="AU175" s="470"/>
      <c r="AV175" s="470"/>
      <c r="AW175" s="470"/>
      <c r="AX175" s="470"/>
      <c r="AY175" s="470"/>
      <c r="AZ175" s="470"/>
      <c r="BA175" s="470"/>
      <c r="BB175" s="470"/>
      <c r="BC175" s="470"/>
      <c r="BD175" s="470"/>
      <c r="BE175" s="470"/>
      <c r="BF175" s="470"/>
      <c r="BG175" s="470"/>
      <c r="BH175" s="470"/>
      <c r="BI175" s="470"/>
      <c r="BJ175" s="470"/>
      <c r="BK175" s="800"/>
      <c r="BL175" s="865"/>
      <c r="BM175" s="942">
        <f>IF(R157="sumidouro",IF(Q177="sim",BM174*S177,U174),"xxx")</f>
        <v>22.4</v>
      </c>
      <c r="BN175" s="857" t="s">
        <v>344</v>
      </c>
      <c r="BO175" s="865"/>
      <c r="BP175" s="865"/>
      <c r="BQ175" s="865"/>
      <c r="BR175" s="865"/>
      <c r="BS175" s="865"/>
      <c r="BT175" s="865"/>
      <c r="BU175" s="865"/>
      <c r="BV175" s="865"/>
      <c r="BW175" s="865"/>
      <c r="BX175" s="865"/>
      <c r="BY175" s="865"/>
      <c r="BZ175" s="865"/>
      <c r="CA175" s="865"/>
      <c r="CB175" s="865"/>
      <c r="CC175" s="865"/>
      <c r="CD175" s="865"/>
      <c r="CE175" s="606"/>
      <c r="CF175" s="606"/>
      <c r="CG175" s="606"/>
      <c r="CH175" s="606"/>
      <c r="CI175" s="606"/>
      <c r="CJ175" s="606"/>
      <c r="CK175" s="606"/>
      <c r="CL175" s="606"/>
      <c r="CM175" s="606"/>
      <c r="CN175" s="606"/>
      <c r="CO175" s="606"/>
      <c r="CP175" s="606"/>
      <c r="CQ175" s="606"/>
      <c r="CR175" s="606"/>
      <c r="CS175" s="606"/>
      <c r="CT175" s="606"/>
      <c r="CU175" s="606"/>
      <c r="CV175" s="606"/>
      <c r="CW175" s="606"/>
      <c r="CX175" s="606"/>
      <c r="CY175" s="606"/>
      <c r="CZ175" s="606"/>
      <c r="DA175" s="606"/>
      <c r="DB175" s="606"/>
      <c r="DC175" s="606"/>
      <c r="DD175" s="606"/>
      <c r="DE175" s="606"/>
      <c r="DF175" s="606"/>
      <c r="DG175" s="606"/>
      <c r="DH175" s="606"/>
      <c r="DI175" s="606"/>
      <c r="DJ175" s="606"/>
      <c r="DK175" s="606"/>
      <c r="DL175" s="606"/>
      <c r="DM175" s="606"/>
      <c r="DN175" s="606"/>
      <c r="DO175" s="606"/>
      <c r="DP175" s="606"/>
      <c r="DQ175" s="606"/>
      <c r="DR175" s="606"/>
      <c r="DS175" s="606"/>
      <c r="DT175" s="606"/>
      <c r="DU175" s="606"/>
      <c r="DV175" s="606"/>
      <c r="DW175" s="606"/>
      <c r="DX175" s="606"/>
    </row>
    <row r="176" spans="1:128" ht="15.75" customHeight="1" thickBot="1" x14ac:dyDescent="0.3">
      <c r="A176" s="1"/>
      <c r="B176" s="511"/>
      <c r="C176" s="77"/>
      <c r="D176" s="52" t="s">
        <v>209</v>
      </c>
      <c r="E176" s="38"/>
      <c r="F176" s="38"/>
      <c r="G176" s="38"/>
      <c r="H176" s="52"/>
      <c r="I176" s="53"/>
      <c r="J176" s="6"/>
      <c r="K176" s="650"/>
      <c r="L176" s="376"/>
      <c r="M176" s="433"/>
      <c r="N176" s="433"/>
      <c r="O176" s="433"/>
      <c r="P176" s="433"/>
      <c r="Q176" s="443"/>
      <c r="R176" s="443"/>
      <c r="S176" s="25"/>
      <c r="T176" s="407"/>
      <c r="U176" s="407"/>
      <c r="V176" s="315"/>
      <c r="W176" s="1"/>
      <c r="X176" s="470"/>
      <c r="Y176" s="470"/>
      <c r="Z176" s="470"/>
      <c r="AA176" s="470"/>
      <c r="AB176" s="470"/>
      <c r="AC176" s="470"/>
      <c r="AD176" s="470"/>
      <c r="AE176" s="470"/>
      <c r="AF176" s="470"/>
      <c r="AG176" s="470"/>
      <c r="AH176" s="470"/>
      <c r="AI176" s="470"/>
      <c r="AJ176" s="470"/>
      <c r="AK176" s="470"/>
      <c r="AL176" s="470"/>
      <c r="AM176" s="470"/>
      <c r="AN176" s="470"/>
      <c r="AO176" s="470"/>
      <c r="AP176" s="470"/>
      <c r="AQ176" s="470"/>
      <c r="AR176" s="470"/>
      <c r="AS176" s="470"/>
      <c r="AT176" s="470"/>
      <c r="AU176" s="470"/>
      <c r="AV176" s="470"/>
      <c r="AW176" s="470"/>
      <c r="AX176" s="470"/>
      <c r="AY176" s="470"/>
      <c r="AZ176" s="470"/>
      <c r="BA176" s="470"/>
      <c r="BB176" s="470"/>
      <c r="BC176" s="470"/>
      <c r="BD176" s="470"/>
      <c r="BE176" s="470"/>
      <c r="BF176" s="470"/>
      <c r="BG176" s="470"/>
      <c r="BH176" s="470"/>
      <c r="BI176" s="470"/>
      <c r="BJ176" s="470"/>
      <c r="BK176" s="800"/>
      <c r="BL176" s="865"/>
      <c r="BM176" s="857"/>
      <c r="BN176" s="857"/>
      <c r="BO176" s="865"/>
      <c r="BP176" s="865"/>
      <c r="BQ176" s="865"/>
      <c r="BR176" s="865"/>
      <c r="BS176" s="865"/>
      <c r="BT176" s="865"/>
      <c r="BU176" s="865"/>
      <c r="BV176" s="865"/>
      <c r="BW176" s="865"/>
      <c r="BX176" s="865"/>
      <c r="BY176" s="865"/>
      <c r="BZ176" s="865"/>
      <c r="CA176" s="865"/>
      <c r="CB176" s="865"/>
      <c r="CC176" s="865"/>
      <c r="CD176" s="865"/>
      <c r="CE176" s="606"/>
      <c r="CF176" s="606"/>
      <c r="CG176" s="606"/>
      <c r="CH176" s="606"/>
      <c r="CI176" s="606"/>
      <c r="CJ176" s="606"/>
      <c r="CK176" s="606"/>
      <c r="CL176" s="606"/>
      <c r="CM176" s="606"/>
      <c r="CN176" s="606"/>
      <c r="CO176" s="606"/>
      <c r="CP176" s="606"/>
      <c r="CQ176" s="606"/>
      <c r="CR176" s="606"/>
      <c r="CS176" s="606"/>
      <c r="CT176" s="606"/>
      <c r="CU176" s="606"/>
      <c r="CV176" s="606"/>
      <c r="CW176" s="606"/>
      <c r="CX176" s="606"/>
      <c r="CY176" s="606"/>
      <c r="CZ176" s="606"/>
      <c r="DA176" s="606"/>
      <c r="DB176" s="606"/>
      <c r="DC176" s="606"/>
      <c r="DD176" s="606"/>
      <c r="DE176" s="606"/>
      <c r="DF176" s="606"/>
      <c r="DG176" s="606"/>
      <c r="DH176" s="606"/>
      <c r="DI176" s="606"/>
      <c r="DJ176" s="606"/>
      <c r="DK176" s="606"/>
      <c r="DL176" s="606"/>
      <c r="DM176" s="606"/>
      <c r="DN176" s="606"/>
      <c r="DO176" s="606"/>
      <c r="DP176" s="606"/>
      <c r="DQ176" s="606"/>
      <c r="DR176" s="606"/>
      <c r="DS176" s="606"/>
      <c r="DT176" s="606"/>
      <c r="DU176" s="606"/>
      <c r="DV176" s="606"/>
      <c r="DW176" s="606"/>
      <c r="DX176" s="606"/>
    </row>
    <row r="177" spans="1:128" ht="15.75" customHeight="1" thickBot="1" x14ac:dyDescent="0.3">
      <c r="A177" s="1"/>
      <c r="B177" s="511"/>
      <c r="C177" s="77" t="s">
        <v>244</v>
      </c>
      <c r="D177" s="52" t="s">
        <v>203</v>
      </c>
      <c r="E177" s="17"/>
      <c r="F177" s="17"/>
      <c r="G177" s="17"/>
      <c r="H177" s="52"/>
      <c r="I177" s="53"/>
      <c r="J177" s="6"/>
      <c r="K177" s="650"/>
      <c r="L177" s="376" t="s">
        <v>44</v>
      </c>
      <c r="M177" s="376" t="s">
        <v>273</v>
      </c>
      <c r="N177" s="402"/>
      <c r="O177" s="402"/>
      <c r="P177" s="56"/>
      <c r="Q177" s="516" t="s">
        <v>62</v>
      </c>
      <c r="R177" s="795" t="s">
        <v>386</v>
      </c>
      <c r="S177" s="517">
        <v>2</v>
      </c>
      <c r="T177" s="376"/>
      <c r="U177" s="57" t="s">
        <v>389</v>
      </c>
      <c r="V177" s="315"/>
      <c r="W177" s="1"/>
      <c r="X177" s="470"/>
      <c r="Y177" s="470"/>
      <c r="Z177" s="470"/>
      <c r="AA177" s="470"/>
      <c r="AB177" s="470"/>
      <c r="AC177" s="470"/>
      <c r="AD177" s="470"/>
      <c r="AE177" s="470"/>
      <c r="AF177" s="470"/>
      <c r="AG177" s="470"/>
      <c r="AH177" s="470"/>
      <c r="AI177" s="470"/>
      <c r="AJ177" s="470"/>
      <c r="AK177" s="470"/>
      <c r="AL177" s="470"/>
      <c r="AM177" s="470"/>
      <c r="AN177" s="470"/>
      <c r="AO177" s="470"/>
      <c r="AP177" s="470"/>
      <c r="AQ177" s="470"/>
      <c r="AR177" s="470"/>
      <c r="AS177" s="470"/>
      <c r="AT177" s="470"/>
      <c r="AU177" s="470"/>
      <c r="AV177" s="470"/>
      <c r="AW177" s="470"/>
      <c r="AX177" s="470"/>
      <c r="AY177" s="470"/>
      <c r="AZ177" s="470"/>
      <c r="BA177" s="470"/>
      <c r="BB177" s="470"/>
      <c r="BC177" s="470"/>
      <c r="BD177" s="470"/>
      <c r="BE177" s="470"/>
      <c r="BF177" s="470"/>
      <c r="BG177" s="470"/>
      <c r="BH177" s="470"/>
      <c r="BI177" s="470"/>
      <c r="BJ177" s="470"/>
      <c r="BK177" s="800"/>
      <c r="BL177" s="865"/>
      <c r="BM177" s="857"/>
      <c r="BN177" s="857"/>
      <c r="BO177" s="865"/>
      <c r="BP177" s="865"/>
      <c r="BQ177" s="865"/>
      <c r="BR177" s="865"/>
      <c r="BS177" s="865"/>
      <c r="BT177" s="865"/>
      <c r="BU177" s="865"/>
      <c r="BV177" s="865"/>
      <c r="BW177" s="865"/>
      <c r="BX177" s="865"/>
      <c r="BY177" s="865"/>
      <c r="BZ177" s="865"/>
      <c r="CA177" s="865"/>
      <c r="CB177" s="865"/>
      <c r="CC177" s="865"/>
      <c r="CD177" s="865"/>
      <c r="CE177" s="606"/>
      <c r="CF177" s="606"/>
      <c r="CG177" s="606"/>
      <c r="CH177" s="606"/>
      <c r="CI177" s="606"/>
      <c r="CJ177" s="606"/>
      <c r="CK177" s="606"/>
      <c r="CL177" s="606"/>
      <c r="CM177" s="606"/>
      <c r="CN177" s="606"/>
      <c r="CO177" s="606"/>
      <c r="CP177" s="606"/>
      <c r="CQ177" s="606"/>
      <c r="CR177" s="606"/>
      <c r="CS177" s="606"/>
      <c r="CT177" s="606"/>
      <c r="CU177" s="606"/>
      <c r="CV177" s="606"/>
      <c r="CW177" s="606"/>
      <c r="CX177" s="606"/>
      <c r="CY177" s="606"/>
      <c r="CZ177" s="606"/>
      <c r="DA177" s="606"/>
      <c r="DB177" s="606"/>
      <c r="DC177" s="606"/>
      <c r="DD177" s="606"/>
      <c r="DE177" s="606"/>
      <c r="DF177" s="606"/>
      <c r="DG177" s="606"/>
      <c r="DH177" s="606"/>
      <c r="DI177" s="606"/>
      <c r="DJ177" s="606"/>
      <c r="DK177" s="606"/>
      <c r="DL177" s="606"/>
      <c r="DM177" s="606"/>
      <c r="DN177" s="606"/>
      <c r="DO177" s="606"/>
      <c r="DP177" s="606"/>
      <c r="DQ177" s="606"/>
      <c r="DR177" s="606"/>
      <c r="DS177" s="606"/>
      <c r="DT177" s="606"/>
      <c r="DU177" s="606"/>
      <c r="DV177" s="606"/>
      <c r="DW177" s="606"/>
      <c r="DX177" s="606"/>
    </row>
    <row r="178" spans="1:128" ht="15.75" customHeight="1" thickBot="1" x14ac:dyDescent="0.3">
      <c r="A178" s="1"/>
      <c r="B178" s="15"/>
      <c r="C178" s="514"/>
      <c r="D178" s="52"/>
      <c r="E178" s="17"/>
      <c r="F178" s="17"/>
      <c r="G178" s="17"/>
      <c r="H178" s="52"/>
      <c r="I178" s="53"/>
      <c r="J178" s="6"/>
      <c r="K178" s="650"/>
      <c r="L178" s="376"/>
      <c r="M178" s="376"/>
      <c r="N178" s="402"/>
      <c r="O178" s="402"/>
      <c r="P178" s="518"/>
      <c r="Q178" s="402"/>
      <c r="R178" s="405"/>
      <c r="S178" s="688"/>
      <c r="T178" s="406"/>
      <c r="U178" s="519">
        <f>BM175</f>
        <v>22.4</v>
      </c>
      <c r="V178" s="315"/>
      <c r="W178" s="1"/>
      <c r="X178" s="470"/>
      <c r="Y178" s="470"/>
      <c r="Z178" s="470"/>
      <c r="AA178" s="470"/>
      <c r="AB178" s="470"/>
      <c r="AC178" s="470"/>
      <c r="AD178" s="470"/>
      <c r="AE178" s="470"/>
      <c r="AF178" s="470"/>
      <c r="AG178" s="470"/>
      <c r="AH178" s="470"/>
      <c r="AI178" s="470"/>
      <c r="AJ178" s="470"/>
      <c r="AK178" s="470"/>
      <c r="AL178" s="470"/>
      <c r="AM178" s="470"/>
      <c r="AN178" s="470"/>
      <c r="AO178" s="470"/>
      <c r="AP178" s="470"/>
      <c r="AQ178" s="470"/>
      <c r="AR178" s="470"/>
      <c r="AS178" s="470"/>
      <c r="AT178" s="470"/>
      <c r="AU178" s="470"/>
      <c r="AV178" s="470"/>
      <c r="AW178" s="470"/>
      <c r="AX178" s="470"/>
      <c r="AY178" s="470"/>
      <c r="AZ178" s="470"/>
      <c r="BA178" s="470"/>
      <c r="BB178" s="470"/>
      <c r="BC178" s="470"/>
      <c r="BD178" s="470"/>
      <c r="BE178" s="470"/>
      <c r="BF178" s="470"/>
      <c r="BG178" s="470"/>
      <c r="BH178" s="470"/>
      <c r="BI178" s="470"/>
      <c r="BJ178" s="470"/>
      <c r="BK178" s="800"/>
      <c r="BL178" s="865"/>
      <c r="BM178" s="857"/>
      <c r="BN178" s="857"/>
      <c r="BO178" s="924"/>
      <c r="BP178" s="865"/>
      <c r="BQ178" s="865"/>
      <c r="BR178" s="865"/>
      <c r="BS178" s="865"/>
      <c r="BT178" s="865"/>
      <c r="BU178" s="865"/>
      <c r="BV178" s="865"/>
      <c r="BW178" s="865"/>
      <c r="BX178" s="865"/>
      <c r="BY178" s="865"/>
      <c r="BZ178" s="865"/>
      <c r="CA178" s="865"/>
      <c r="CB178" s="865"/>
      <c r="CC178" s="865"/>
      <c r="CD178" s="865"/>
      <c r="CE178" s="606"/>
      <c r="CF178" s="606"/>
      <c r="CG178" s="606"/>
      <c r="CH178" s="606"/>
      <c r="CI178" s="606"/>
      <c r="CJ178" s="606"/>
      <c r="CK178" s="606"/>
      <c r="CL178" s="606"/>
      <c r="CM178" s="606"/>
      <c r="CN178" s="606"/>
      <c r="CO178" s="606"/>
      <c r="CP178" s="606"/>
      <c r="CQ178" s="606"/>
      <c r="CR178" s="606"/>
      <c r="CS178" s="606"/>
      <c r="CT178" s="606"/>
      <c r="CU178" s="606"/>
      <c r="CV178" s="606"/>
      <c r="CW178" s="606"/>
      <c r="CX178" s="606"/>
      <c r="CY178" s="606"/>
      <c r="CZ178" s="606"/>
      <c r="DA178" s="606"/>
      <c r="DB178" s="606"/>
      <c r="DC178" s="606"/>
      <c r="DD178" s="606"/>
      <c r="DE178" s="606"/>
      <c r="DF178" s="606"/>
      <c r="DG178" s="606"/>
      <c r="DH178" s="606"/>
      <c r="DI178" s="606"/>
      <c r="DJ178" s="606"/>
      <c r="DK178" s="606"/>
      <c r="DL178" s="606"/>
      <c r="DM178" s="606"/>
      <c r="DN178" s="606"/>
      <c r="DO178" s="606"/>
      <c r="DP178" s="606"/>
      <c r="DQ178" s="606"/>
      <c r="DR178" s="606"/>
      <c r="DS178" s="606"/>
      <c r="DT178" s="606"/>
      <c r="DU178" s="606"/>
      <c r="DV178" s="606"/>
      <c r="DW178" s="606"/>
      <c r="DX178" s="606"/>
    </row>
    <row r="179" spans="1:128" ht="15.75" customHeight="1" x14ac:dyDescent="0.25">
      <c r="A179" s="1"/>
      <c r="B179" s="15"/>
      <c r="C179" s="52" t="s">
        <v>369</v>
      </c>
      <c r="D179" s="52"/>
      <c r="E179" s="52"/>
      <c r="F179" s="52"/>
      <c r="G179" s="52"/>
      <c r="H179" s="90"/>
      <c r="I179" s="512"/>
      <c r="J179" s="6"/>
      <c r="K179" s="785"/>
      <c r="L179" s="755"/>
      <c r="M179" s="751"/>
      <c r="N179" s="751"/>
      <c r="O179" s="751"/>
      <c r="P179" s="751"/>
      <c r="Q179" s="751"/>
      <c r="R179" s="786"/>
      <c r="S179" s="787"/>
      <c r="T179" s="788"/>
      <c r="U179" s="788"/>
      <c r="V179" s="315"/>
      <c r="W179" s="1"/>
      <c r="X179" s="470"/>
      <c r="Y179" s="470"/>
      <c r="Z179" s="470"/>
      <c r="AA179" s="470"/>
      <c r="AB179" s="470"/>
      <c r="AC179" s="470"/>
      <c r="AD179" s="470"/>
      <c r="AE179" s="470"/>
      <c r="AF179" s="470"/>
      <c r="AG179" s="470"/>
      <c r="AH179" s="470"/>
      <c r="AI179" s="470"/>
      <c r="AJ179" s="470"/>
      <c r="AK179" s="470"/>
      <c r="AL179" s="470"/>
      <c r="AM179" s="470"/>
      <c r="AN179" s="470"/>
      <c r="AO179" s="470"/>
      <c r="AP179" s="470"/>
      <c r="AQ179" s="470"/>
      <c r="AR179" s="470"/>
      <c r="AS179" s="470"/>
      <c r="AT179" s="470"/>
      <c r="AU179" s="470"/>
      <c r="AV179" s="470"/>
      <c r="AW179" s="470"/>
      <c r="AX179" s="470"/>
      <c r="AY179" s="470"/>
      <c r="AZ179" s="470"/>
      <c r="BA179" s="470"/>
      <c r="BB179" s="470"/>
      <c r="BC179" s="470"/>
      <c r="BD179" s="470"/>
      <c r="BE179" s="470"/>
      <c r="BF179" s="470"/>
      <c r="BG179" s="470"/>
      <c r="BH179" s="470"/>
      <c r="BI179" s="470"/>
      <c r="BJ179" s="470"/>
      <c r="BK179" s="800"/>
      <c r="BL179" s="865"/>
      <c r="BM179" s="857"/>
      <c r="BN179" s="857"/>
      <c r="BO179" s="865"/>
      <c r="BP179" s="865"/>
      <c r="BQ179" s="865"/>
      <c r="BR179" s="865"/>
      <c r="BS179" s="865"/>
      <c r="BT179" s="865"/>
      <c r="BU179" s="865"/>
      <c r="BV179" s="865"/>
      <c r="BW179" s="865"/>
      <c r="BX179" s="865"/>
      <c r="BY179" s="865"/>
      <c r="BZ179" s="865"/>
      <c r="CA179" s="865"/>
      <c r="CB179" s="865"/>
      <c r="CC179" s="865"/>
      <c r="CD179" s="865"/>
      <c r="CE179" s="606"/>
      <c r="CF179" s="606"/>
      <c r="CG179" s="606"/>
      <c r="CH179" s="606"/>
      <c r="CI179" s="606"/>
      <c r="CJ179" s="606"/>
      <c r="CK179" s="606"/>
      <c r="CL179" s="606"/>
      <c r="CM179" s="606"/>
      <c r="CN179" s="606"/>
      <c r="CO179" s="606"/>
      <c r="CP179" s="606"/>
      <c r="CQ179" s="606"/>
      <c r="CR179" s="606"/>
      <c r="CS179" s="606"/>
      <c r="CT179" s="606"/>
      <c r="CU179" s="606"/>
      <c r="CV179" s="606"/>
      <c r="CW179" s="606"/>
      <c r="CX179" s="606"/>
      <c r="CY179" s="606"/>
      <c r="CZ179" s="606"/>
      <c r="DA179" s="606"/>
      <c r="DB179" s="606"/>
      <c r="DC179" s="606"/>
      <c r="DD179" s="606"/>
      <c r="DE179" s="606"/>
      <c r="DF179" s="606"/>
      <c r="DG179" s="606"/>
      <c r="DH179" s="606"/>
      <c r="DI179" s="606"/>
      <c r="DJ179" s="606"/>
      <c r="DK179" s="606"/>
      <c r="DL179" s="606"/>
      <c r="DM179" s="606"/>
      <c r="DN179" s="606"/>
      <c r="DO179" s="606"/>
      <c r="DP179" s="606"/>
      <c r="DQ179" s="606"/>
      <c r="DR179" s="606"/>
      <c r="DS179" s="606"/>
      <c r="DT179" s="606"/>
      <c r="DU179" s="606"/>
      <c r="DV179" s="606"/>
      <c r="DW179" s="606"/>
      <c r="DX179" s="606"/>
    </row>
    <row r="180" spans="1:128" ht="15.75" customHeight="1" thickBot="1" x14ac:dyDescent="0.3">
      <c r="A180" s="1"/>
      <c r="B180" s="15"/>
      <c r="C180" s="514"/>
      <c r="D180" s="52"/>
      <c r="E180" s="17"/>
      <c r="F180" s="17"/>
      <c r="G180" s="17"/>
      <c r="H180" s="90"/>
      <c r="I180" s="512"/>
      <c r="J180" s="6"/>
      <c r="K180" s="785"/>
      <c r="L180" s="755"/>
      <c r="M180" s="751"/>
      <c r="N180" s="751"/>
      <c r="O180" s="751"/>
      <c r="P180" s="751"/>
      <c r="Q180" s="751"/>
      <c r="R180" s="786"/>
      <c r="S180" s="787"/>
      <c r="T180" s="788"/>
      <c r="U180" s="788"/>
      <c r="V180" s="315"/>
      <c r="W180" s="1"/>
      <c r="X180" s="470"/>
      <c r="Y180" s="470"/>
      <c r="Z180" s="470"/>
      <c r="AA180" s="470"/>
      <c r="AB180" s="470"/>
      <c r="AC180" s="470"/>
      <c r="AD180" s="470"/>
      <c r="AE180" s="470"/>
      <c r="AF180" s="470"/>
      <c r="AG180" s="470"/>
      <c r="AH180" s="470"/>
      <c r="AI180" s="470"/>
      <c r="AJ180" s="470"/>
      <c r="AK180" s="470"/>
      <c r="AL180" s="470"/>
      <c r="AM180" s="470"/>
      <c r="AN180" s="470"/>
      <c r="AO180" s="470"/>
      <c r="AP180" s="470"/>
      <c r="AQ180" s="470"/>
      <c r="AR180" s="470"/>
      <c r="AS180" s="470"/>
      <c r="AT180" s="470"/>
      <c r="AU180" s="470"/>
      <c r="AV180" s="470"/>
      <c r="AW180" s="470"/>
      <c r="AX180" s="470"/>
      <c r="AY180" s="470"/>
      <c r="AZ180" s="470"/>
      <c r="BA180" s="470"/>
      <c r="BB180" s="470"/>
      <c r="BC180" s="470"/>
      <c r="BD180" s="470"/>
      <c r="BE180" s="470"/>
      <c r="BF180" s="470"/>
      <c r="BG180" s="470"/>
      <c r="BH180" s="470"/>
      <c r="BI180" s="470"/>
      <c r="BJ180" s="470"/>
      <c r="BK180" s="800"/>
      <c r="BL180" s="865"/>
      <c r="BM180" s="857"/>
      <c r="BN180" s="857"/>
      <c r="BO180" s="865"/>
      <c r="BP180" s="865"/>
      <c r="BQ180" s="865"/>
      <c r="BR180" s="865"/>
      <c r="BS180" s="865"/>
      <c r="BT180" s="865"/>
      <c r="BU180" s="865"/>
      <c r="BV180" s="865"/>
      <c r="BW180" s="865"/>
      <c r="BX180" s="865"/>
      <c r="BY180" s="865"/>
      <c r="BZ180" s="865"/>
      <c r="CA180" s="865"/>
      <c r="CB180" s="865"/>
      <c r="CC180" s="865"/>
      <c r="CD180" s="865"/>
      <c r="CE180" s="606"/>
      <c r="CF180" s="606"/>
      <c r="CG180" s="606"/>
      <c r="CH180" s="606"/>
      <c r="CI180" s="606"/>
      <c r="CJ180" s="606"/>
      <c r="CK180" s="606"/>
      <c r="CL180" s="606"/>
      <c r="CM180" s="606"/>
      <c r="CN180" s="606"/>
      <c r="CO180" s="606"/>
      <c r="CP180" s="606"/>
      <c r="CQ180" s="606"/>
      <c r="CR180" s="606"/>
      <c r="CS180" s="606"/>
      <c r="CT180" s="606"/>
      <c r="CU180" s="606"/>
      <c r="CV180" s="606"/>
      <c r="CW180" s="606"/>
      <c r="CX180" s="606"/>
      <c r="CY180" s="606"/>
      <c r="CZ180" s="606"/>
      <c r="DA180" s="606"/>
      <c r="DB180" s="606"/>
      <c r="DC180" s="606"/>
      <c r="DD180" s="606"/>
      <c r="DE180" s="606"/>
      <c r="DF180" s="606"/>
      <c r="DG180" s="606"/>
      <c r="DH180" s="606"/>
      <c r="DI180" s="606"/>
      <c r="DJ180" s="606"/>
      <c r="DK180" s="606"/>
      <c r="DL180" s="606"/>
      <c r="DM180" s="606"/>
      <c r="DN180" s="606"/>
      <c r="DO180" s="606"/>
      <c r="DP180" s="606"/>
      <c r="DQ180" s="606"/>
      <c r="DR180" s="606"/>
      <c r="DS180" s="606"/>
      <c r="DT180" s="606"/>
      <c r="DU180" s="606"/>
      <c r="DV180" s="606"/>
      <c r="DW180" s="606"/>
      <c r="DX180" s="606"/>
    </row>
    <row r="181" spans="1:128" ht="15.75" customHeight="1" thickBot="1" x14ac:dyDescent="0.3">
      <c r="A181" s="1"/>
      <c r="B181" s="15"/>
      <c r="C181" s="969" t="s">
        <v>266</v>
      </c>
      <c r="D181" s="970"/>
      <c r="E181" s="637" t="s">
        <v>258</v>
      </c>
      <c r="F181" s="637" t="s">
        <v>266</v>
      </c>
      <c r="G181" s="969" t="s">
        <v>258</v>
      </c>
      <c r="H181" s="970"/>
      <c r="I181" s="512"/>
      <c r="J181" s="6"/>
      <c r="K181" s="650"/>
      <c r="L181" s="376" t="s">
        <v>116</v>
      </c>
      <c r="M181" s="26" t="s">
        <v>275</v>
      </c>
      <c r="N181" s="56"/>
      <c r="O181" s="56"/>
      <c r="P181" s="56"/>
      <c r="Q181" s="318"/>
      <c r="R181" s="524" t="s">
        <v>380</v>
      </c>
      <c r="S181" s="1060" t="s">
        <v>109</v>
      </c>
      <c r="T181" s="1061"/>
      <c r="U181" s="406"/>
      <c r="V181" s="315"/>
      <c r="W181" s="1"/>
      <c r="X181" s="470"/>
      <c r="Y181" s="470"/>
      <c r="Z181" s="470"/>
      <c r="AA181" s="470"/>
      <c r="AB181" s="470"/>
      <c r="AC181" s="470"/>
      <c r="AD181" s="470"/>
      <c r="AE181" s="470"/>
      <c r="AF181" s="470"/>
      <c r="AG181" s="470"/>
      <c r="AH181" s="470"/>
      <c r="AI181" s="470"/>
      <c r="AJ181" s="470"/>
      <c r="AK181" s="470"/>
      <c r="AL181" s="470"/>
      <c r="AM181" s="470"/>
      <c r="AN181" s="470"/>
      <c r="AO181" s="470"/>
      <c r="AP181" s="470"/>
      <c r="AQ181" s="470"/>
      <c r="AR181" s="470"/>
      <c r="AS181" s="470"/>
      <c r="AT181" s="470"/>
      <c r="AU181" s="470"/>
      <c r="AV181" s="470"/>
      <c r="AW181" s="470"/>
      <c r="AX181" s="470"/>
      <c r="AY181" s="470"/>
      <c r="AZ181" s="470"/>
      <c r="BA181" s="470"/>
      <c r="BB181" s="470"/>
      <c r="BC181" s="470"/>
      <c r="BD181" s="470"/>
      <c r="BE181" s="470"/>
      <c r="BF181" s="470"/>
      <c r="BG181" s="470"/>
      <c r="BH181" s="470"/>
      <c r="BI181" s="470"/>
      <c r="BJ181" s="470"/>
      <c r="BK181" s="800"/>
      <c r="BL181" s="865"/>
      <c r="BM181" s="892"/>
      <c r="BN181" s="857"/>
      <c r="BO181" s="865"/>
      <c r="BP181" s="865"/>
      <c r="BQ181" s="865"/>
      <c r="BR181" s="865"/>
      <c r="BS181" s="865"/>
      <c r="BT181" s="865"/>
      <c r="BU181" s="865"/>
      <c r="BV181" s="865"/>
      <c r="BW181" s="865"/>
      <c r="BX181" s="865"/>
      <c r="BY181" s="865"/>
      <c r="BZ181" s="865"/>
      <c r="CA181" s="865"/>
      <c r="CB181" s="865"/>
      <c r="CC181" s="865"/>
      <c r="CD181" s="865"/>
      <c r="CE181" s="606"/>
      <c r="CF181" s="606"/>
      <c r="CG181" s="606"/>
      <c r="CH181" s="606"/>
      <c r="CI181" s="606"/>
      <c r="CJ181" s="606"/>
      <c r="CK181" s="606"/>
      <c r="CL181" s="606"/>
      <c r="CM181" s="606"/>
      <c r="CN181" s="606"/>
      <c r="CO181" s="606"/>
      <c r="CP181" s="606"/>
      <c r="CQ181" s="606"/>
      <c r="CR181" s="606"/>
      <c r="CS181" s="606"/>
      <c r="CT181" s="606"/>
      <c r="CU181" s="606"/>
      <c r="CV181" s="606"/>
      <c r="CW181" s="606"/>
      <c r="CX181" s="606"/>
      <c r="CY181" s="606"/>
      <c r="CZ181" s="606"/>
      <c r="DA181" s="606"/>
      <c r="DB181" s="606"/>
      <c r="DC181" s="606"/>
      <c r="DD181" s="606"/>
      <c r="DE181" s="606"/>
      <c r="DF181" s="606"/>
      <c r="DG181" s="606"/>
      <c r="DH181" s="606"/>
      <c r="DI181" s="606"/>
      <c r="DJ181" s="606"/>
      <c r="DK181" s="606"/>
      <c r="DL181" s="606"/>
      <c r="DM181" s="606"/>
      <c r="DN181" s="606"/>
      <c r="DO181" s="606"/>
      <c r="DP181" s="606"/>
      <c r="DQ181" s="606"/>
      <c r="DR181" s="606"/>
      <c r="DS181" s="606"/>
      <c r="DT181" s="606"/>
      <c r="DU181" s="606"/>
      <c r="DV181" s="606"/>
      <c r="DW181" s="606"/>
      <c r="DX181" s="606"/>
    </row>
    <row r="182" spans="1:128" ht="15.75" customHeight="1" thickBot="1" x14ac:dyDescent="0.3">
      <c r="A182" s="1"/>
      <c r="B182" s="15"/>
      <c r="C182" s="971" t="s">
        <v>267</v>
      </c>
      <c r="D182" s="972"/>
      <c r="E182" s="638" t="s">
        <v>256</v>
      </c>
      <c r="F182" s="638" t="s">
        <v>267</v>
      </c>
      <c r="G182" s="971" t="s">
        <v>256</v>
      </c>
      <c r="H182" s="972"/>
      <c r="I182" s="512"/>
      <c r="J182" s="6"/>
      <c r="K182" s="785"/>
      <c r="L182" s="755"/>
      <c r="M182" s="751"/>
      <c r="N182" s="751"/>
      <c r="O182" s="751"/>
      <c r="P182" s="751"/>
      <c r="Q182" s="786"/>
      <c r="R182" s="789"/>
      <c r="S182" s="789"/>
      <c r="T182" s="786"/>
      <c r="U182" s="790"/>
      <c r="V182" s="783"/>
      <c r="W182" s="1"/>
      <c r="X182" s="470"/>
      <c r="Y182" s="470"/>
      <c r="Z182" s="470"/>
      <c r="AA182" s="470"/>
      <c r="AB182" s="470"/>
      <c r="AC182" s="470"/>
      <c r="AD182" s="470"/>
      <c r="AE182" s="470"/>
      <c r="AF182" s="470"/>
      <c r="AG182" s="470"/>
      <c r="AH182" s="470"/>
      <c r="AI182" s="470"/>
      <c r="AJ182" s="470"/>
      <c r="AK182" s="470"/>
      <c r="AL182" s="470"/>
      <c r="AM182" s="470"/>
      <c r="AN182" s="470"/>
      <c r="AO182" s="470"/>
      <c r="AP182" s="470"/>
      <c r="AQ182" s="470"/>
      <c r="AR182" s="470"/>
      <c r="AS182" s="470"/>
      <c r="AT182" s="470"/>
      <c r="AU182" s="470"/>
      <c r="AV182" s="470"/>
      <c r="AW182" s="470"/>
      <c r="AX182" s="470"/>
      <c r="AY182" s="470"/>
      <c r="AZ182" s="470"/>
      <c r="BA182" s="470"/>
      <c r="BB182" s="470"/>
      <c r="BC182" s="470"/>
      <c r="BD182" s="470"/>
      <c r="BE182" s="470"/>
      <c r="BF182" s="470"/>
      <c r="BG182" s="470"/>
      <c r="BH182" s="470"/>
      <c r="BI182" s="470"/>
      <c r="BJ182" s="470"/>
      <c r="BK182" s="800"/>
      <c r="BL182" s="865"/>
      <c r="BM182" s="857"/>
      <c r="BN182" s="857"/>
      <c r="BO182" s="865"/>
      <c r="BP182" s="865"/>
      <c r="BQ182" s="865"/>
      <c r="BR182" s="865"/>
      <c r="BS182" s="865"/>
      <c r="BT182" s="865"/>
      <c r="BU182" s="865"/>
      <c r="BV182" s="865"/>
      <c r="BW182" s="865"/>
      <c r="BX182" s="865"/>
      <c r="BY182" s="865"/>
      <c r="BZ182" s="865"/>
      <c r="CA182" s="865"/>
      <c r="CB182" s="865"/>
      <c r="CC182" s="865"/>
      <c r="CD182" s="865"/>
      <c r="CE182" s="606"/>
      <c r="CF182" s="606"/>
      <c r="CG182" s="606"/>
      <c r="CH182" s="606"/>
      <c r="CI182" s="606"/>
      <c r="CJ182" s="606"/>
      <c r="CK182" s="606"/>
      <c r="CL182" s="606"/>
      <c r="CM182" s="606"/>
      <c r="CN182" s="606"/>
      <c r="CO182" s="606"/>
      <c r="CP182" s="606"/>
      <c r="CQ182" s="606"/>
      <c r="CR182" s="606"/>
      <c r="CS182" s="606"/>
      <c r="CT182" s="606"/>
      <c r="CU182" s="606"/>
      <c r="CV182" s="606"/>
      <c r="CW182" s="606"/>
      <c r="CX182" s="606"/>
      <c r="CY182" s="606"/>
      <c r="CZ182" s="606"/>
      <c r="DA182" s="606"/>
      <c r="DB182" s="606"/>
      <c r="DC182" s="606"/>
      <c r="DD182" s="606"/>
      <c r="DE182" s="606"/>
      <c r="DF182" s="606"/>
      <c r="DG182" s="606"/>
      <c r="DH182" s="606"/>
      <c r="DI182" s="606"/>
      <c r="DJ182" s="606"/>
      <c r="DK182" s="606"/>
      <c r="DL182" s="606"/>
      <c r="DM182" s="606"/>
      <c r="DN182" s="606"/>
      <c r="DO182" s="606"/>
      <c r="DP182" s="606"/>
      <c r="DQ182" s="606"/>
      <c r="DR182" s="606"/>
      <c r="DS182" s="606"/>
      <c r="DT182" s="606"/>
      <c r="DU182" s="606"/>
      <c r="DV182" s="606"/>
      <c r="DW182" s="606"/>
      <c r="DX182" s="606"/>
    </row>
    <row r="183" spans="1:128" ht="15.75" customHeight="1" thickBot="1" x14ac:dyDescent="0.3">
      <c r="A183" s="1"/>
      <c r="B183" s="15"/>
      <c r="C183" s="961" t="s">
        <v>255</v>
      </c>
      <c r="D183" s="962"/>
      <c r="E183" s="639" t="s">
        <v>257</v>
      </c>
      <c r="F183" s="639" t="s">
        <v>255</v>
      </c>
      <c r="G183" s="961" t="s">
        <v>257</v>
      </c>
      <c r="H183" s="962"/>
      <c r="I183" s="512"/>
      <c r="J183" s="6"/>
      <c r="K183" s="650"/>
      <c r="L183" s="376"/>
      <c r="M183" s="56"/>
      <c r="N183" s="56"/>
      <c r="O183" s="1042" t="s">
        <v>72</v>
      </c>
      <c r="P183" s="1043"/>
      <c r="Q183" s="1046" t="s">
        <v>73</v>
      </c>
      <c r="R183" s="1047"/>
      <c r="S183" s="1048" t="s">
        <v>34</v>
      </c>
      <c r="T183" s="1050" t="s">
        <v>90</v>
      </c>
      <c r="U183" s="409"/>
      <c r="V183" s="315"/>
      <c r="W183" s="1"/>
      <c r="X183" s="470"/>
      <c r="Y183" s="470"/>
      <c r="Z183" s="470"/>
      <c r="AA183" s="470"/>
      <c r="AB183" s="470"/>
      <c r="AC183" s="470"/>
      <c r="AD183" s="470"/>
      <c r="AE183" s="470"/>
      <c r="AF183" s="470"/>
      <c r="AG183" s="470"/>
      <c r="AH183" s="470"/>
      <c r="AI183" s="470"/>
      <c r="AJ183" s="470"/>
      <c r="AK183" s="470"/>
      <c r="AL183" s="470"/>
      <c r="AM183" s="470"/>
      <c r="AN183" s="470"/>
      <c r="AO183" s="470"/>
      <c r="AP183" s="470"/>
      <c r="AQ183" s="470"/>
      <c r="AR183" s="470"/>
      <c r="AS183" s="470"/>
      <c r="AT183" s="470"/>
      <c r="AU183" s="470"/>
      <c r="AV183" s="470"/>
      <c r="AW183" s="470"/>
      <c r="AX183" s="470"/>
      <c r="AY183" s="470"/>
      <c r="AZ183" s="470"/>
      <c r="BA183" s="470"/>
      <c r="BB183" s="470"/>
      <c r="BC183" s="470"/>
      <c r="BD183" s="470"/>
      <c r="BE183" s="470"/>
      <c r="BF183" s="470"/>
      <c r="BG183" s="470"/>
      <c r="BH183" s="470"/>
      <c r="BI183" s="470"/>
      <c r="BJ183" s="470"/>
      <c r="BK183" s="800"/>
      <c r="BL183" s="865"/>
      <c r="BM183" s="857"/>
      <c r="BN183" s="865"/>
      <c r="BO183" s="865"/>
      <c r="BP183" s="865"/>
      <c r="BQ183" s="865"/>
      <c r="BR183" s="865"/>
      <c r="BS183" s="865"/>
      <c r="BT183" s="865"/>
      <c r="BU183" s="865"/>
      <c r="BV183" s="865"/>
      <c r="BW183" s="865"/>
      <c r="BX183" s="865"/>
      <c r="BY183" s="865"/>
      <c r="BZ183" s="865"/>
      <c r="CA183" s="865"/>
      <c r="CB183" s="865"/>
      <c r="CC183" s="865"/>
      <c r="CD183" s="865"/>
      <c r="CE183" s="606"/>
      <c r="CF183" s="606"/>
      <c r="CG183" s="606"/>
      <c r="CH183" s="606"/>
      <c r="CI183" s="606"/>
      <c r="CJ183" s="606"/>
      <c r="CK183" s="606"/>
      <c r="CL183" s="606"/>
      <c r="CM183" s="606"/>
      <c r="CN183" s="606"/>
      <c r="CO183" s="606"/>
      <c r="CP183" s="606"/>
      <c r="CQ183" s="606"/>
      <c r="CR183" s="606"/>
      <c r="CS183" s="606"/>
      <c r="CT183" s="606"/>
      <c r="CU183" s="606"/>
      <c r="CV183" s="606"/>
      <c r="CW183" s="606"/>
      <c r="CX183" s="606"/>
      <c r="CY183" s="606"/>
      <c r="CZ183" s="606"/>
      <c r="DA183" s="606"/>
      <c r="DB183" s="606"/>
      <c r="DC183" s="606"/>
      <c r="DD183" s="606"/>
      <c r="DE183" s="606"/>
      <c r="DF183" s="606"/>
      <c r="DG183" s="606"/>
      <c r="DH183" s="606"/>
      <c r="DI183" s="606"/>
      <c r="DJ183" s="606"/>
      <c r="DK183" s="606"/>
      <c r="DL183" s="606"/>
      <c r="DM183" s="606"/>
      <c r="DN183" s="606"/>
      <c r="DO183" s="606"/>
      <c r="DP183" s="606"/>
      <c r="DQ183" s="606"/>
      <c r="DR183" s="606"/>
      <c r="DS183" s="606"/>
      <c r="DT183" s="606"/>
      <c r="DU183" s="606"/>
      <c r="DV183" s="606"/>
      <c r="DW183" s="606"/>
      <c r="DX183" s="606"/>
    </row>
    <row r="184" spans="1:128" ht="15.75" customHeight="1" thickBot="1" x14ac:dyDescent="0.3">
      <c r="A184" s="1"/>
      <c r="B184" s="15"/>
      <c r="C184" s="969" t="s">
        <v>259</v>
      </c>
      <c r="D184" s="970"/>
      <c r="E184" s="644">
        <v>0.2</v>
      </c>
      <c r="F184" s="594">
        <v>400</v>
      </c>
      <c r="G184" s="963">
        <v>6.5000000000000002E-2</v>
      </c>
      <c r="H184" s="964"/>
      <c r="I184" s="512"/>
      <c r="J184" s="6"/>
      <c r="K184" s="650"/>
      <c r="L184" s="376"/>
      <c r="M184" s="56"/>
      <c r="N184" s="56"/>
      <c r="O184" s="1044"/>
      <c r="P184" s="1045"/>
      <c r="Q184" s="525" t="s">
        <v>75</v>
      </c>
      <c r="R184" s="526" t="s">
        <v>76</v>
      </c>
      <c r="S184" s="1049"/>
      <c r="T184" s="1051"/>
      <c r="U184" s="410"/>
      <c r="V184" s="315"/>
      <c r="W184" s="1"/>
      <c r="X184" s="470"/>
      <c r="Y184" s="470"/>
      <c r="Z184" s="470"/>
      <c r="AA184" s="470"/>
      <c r="AB184" s="470"/>
      <c r="AC184" s="470"/>
      <c r="AD184" s="470"/>
      <c r="AE184" s="470"/>
      <c r="AF184" s="470"/>
      <c r="AG184" s="470"/>
      <c r="AH184" s="470"/>
      <c r="AI184" s="470"/>
      <c r="AJ184" s="470"/>
      <c r="AK184" s="470"/>
      <c r="AL184" s="470"/>
      <c r="AM184" s="470"/>
      <c r="AN184" s="470"/>
      <c r="AO184" s="470"/>
      <c r="AP184" s="470"/>
      <c r="AQ184" s="470"/>
      <c r="AR184" s="470"/>
      <c r="AS184" s="470"/>
      <c r="AT184" s="470"/>
      <c r="AU184" s="470"/>
      <c r="AV184" s="470"/>
      <c r="AW184" s="470"/>
      <c r="AX184" s="470"/>
      <c r="AY184" s="470"/>
      <c r="AZ184" s="470"/>
      <c r="BA184" s="470"/>
      <c r="BB184" s="470"/>
      <c r="BC184" s="470"/>
      <c r="BD184" s="470"/>
      <c r="BE184" s="470"/>
      <c r="BF184" s="470"/>
      <c r="BG184" s="470"/>
      <c r="BH184" s="470"/>
      <c r="BI184" s="470"/>
      <c r="BJ184" s="470"/>
      <c r="BK184" s="800"/>
      <c r="BL184" s="857"/>
      <c r="BM184" s="857"/>
      <c r="BN184" s="943"/>
      <c r="BO184" s="887"/>
      <c r="BP184" s="865"/>
      <c r="BQ184" s="865"/>
      <c r="BR184" s="865"/>
      <c r="BS184" s="865"/>
      <c r="BT184" s="865"/>
      <c r="BU184" s="865"/>
      <c r="BV184" s="865"/>
      <c r="BW184" s="865"/>
      <c r="BX184" s="865"/>
      <c r="BY184" s="865"/>
      <c r="BZ184" s="865"/>
      <c r="CA184" s="865"/>
      <c r="CB184" s="865"/>
      <c r="CC184" s="865"/>
      <c r="CD184" s="865"/>
      <c r="CE184" s="606"/>
      <c r="CF184" s="606"/>
      <c r="CG184" s="606"/>
      <c r="CH184" s="606"/>
      <c r="CI184" s="606"/>
      <c r="CJ184" s="606"/>
      <c r="CK184" s="606"/>
      <c r="CL184" s="606"/>
      <c r="CM184" s="606"/>
      <c r="CN184" s="606"/>
      <c r="CO184" s="606"/>
      <c r="CP184" s="606"/>
      <c r="CQ184" s="606"/>
      <c r="CR184" s="606"/>
      <c r="CS184" s="606"/>
      <c r="CT184" s="606"/>
      <c r="CU184" s="606"/>
      <c r="CV184" s="606"/>
      <c r="CW184" s="606"/>
      <c r="CX184" s="606"/>
      <c r="CY184" s="606"/>
      <c r="CZ184" s="606"/>
      <c r="DA184" s="606"/>
      <c r="DB184" s="606"/>
      <c r="DC184" s="606"/>
      <c r="DD184" s="606"/>
      <c r="DE184" s="606"/>
      <c r="DF184" s="606"/>
      <c r="DG184" s="606"/>
      <c r="DH184" s="606"/>
      <c r="DI184" s="606"/>
      <c r="DJ184" s="606"/>
      <c r="DK184" s="606"/>
      <c r="DL184" s="606"/>
      <c r="DM184" s="606"/>
      <c r="DN184" s="606"/>
      <c r="DO184" s="606"/>
      <c r="DP184" s="606"/>
      <c r="DQ184" s="606"/>
      <c r="DR184" s="606"/>
      <c r="DS184" s="606"/>
      <c r="DT184" s="606"/>
      <c r="DU184" s="606"/>
      <c r="DV184" s="606"/>
      <c r="DW184" s="606"/>
      <c r="DX184" s="606"/>
    </row>
    <row r="185" spans="1:128" ht="15.75" customHeight="1" thickBot="1" x14ac:dyDescent="0.3">
      <c r="A185" s="1"/>
      <c r="B185" s="15"/>
      <c r="C185" s="971">
        <v>80</v>
      </c>
      <c r="D185" s="972"/>
      <c r="E185" s="638">
        <v>0.14000000000000001</v>
      </c>
      <c r="F185" s="594">
        <v>600</v>
      </c>
      <c r="G185" s="965">
        <v>5.2999999999999999E-2</v>
      </c>
      <c r="H185" s="966"/>
      <c r="I185" s="512"/>
      <c r="J185" s="1"/>
      <c r="K185" s="650"/>
      <c r="L185" s="376"/>
      <c r="M185" s="56"/>
      <c r="N185" s="412"/>
      <c r="O185" s="62" t="s">
        <v>91</v>
      </c>
      <c r="P185" s="63"/>
      <c r="Q185" s="91">
        <f>IF(R157="sumidouro",1,"----")</f>
        <v>1</v>
      </c>
      <c r="R185" s="65" t="s">
        <v>92</v>
      </c>
      <c r="S185" s="66">
        <f>R174</f>
        <v>1.5</v>
      </c>
      <c r="T185" s="100" t="str">
        <f>IF(R174 &gt;=1,"Atende","Não Atende")</f>
        <v>Atende</v>
      </c>
      <c r="U185" s="410"/>
      <c r="V185" s="315"/>
      <c r="W185" s="1"/>
      <c r="X185" s="470"/>
      <c r="Y185" s="470"/>
      <c r="Z185" s="470"/>
      <c r="AA185" s="470"/>
      <c r="AB185" s="470"/>
      <c r="AC185" s="470"/>
      <c r="AD185" s="470"/>
      <c r="AE185" s="470"/>
      <c r="AF185" s="470"/>
      <c r="AG185" s="470"/>
      <c r="AH185" s="470"/>
      <c r="AI185" s="470"/>
      <c r="AJ185" s="470"/>
      <c r="AK185" s="470"/>
      <c r="AL185" s="470"/>
      <c r="AM185" s="470"/>
      <c r="AN185" s="470"/>
      <c r="AO185" s="470"/>
      <c r="AP185" s="470"/>
      <c r="AQ185" s="470"/>
      <c r="AR185" s="470"/>
      <c r="AS185" s="470"/>
      <c r="AT185" s="470"/>
      <c r="AU185" s="470"/>
      <c r="AV185" s="470"/>
      <c r="AW185" s="470"/>
      <c r="AX185" s="470"/>
      <c r="AY185" s="470"/>
      <c r="AZ185" s="470"/>
      <c r="BA185" s="470"/>
      <c r="BB185" s="470"/>
      <c r="BC185" s="470"/>
      <c r="BD185" s="470"/>
      <c r="BE185" s="470"/>
      <c r="BF185" s="470"/>
      <c r="BG185" s="470"/>
      <c r="BH185" s="470"/>
      <c r="BI185" s="470"/>
      <c r="BJ185" s="470"/>
      <c r="BK185" s="800"/>
      <c r="BL185" s="822"/>
      <c r="BM185" s="821" t="s">
        <v>340</v>
      </c>
      <c r="BN185" s="944">
        <f>S233</f>
        <v>3</v>
      </c>
      <c r="BO185" s="944">
        <f>BN185/BN187</f>
        <v>1</v>
      </c>
      <c r="BP185" s="865"/>
      <c r="BQ185" s="865"/>
      <c r="BR185" s="865"/>
      <c r="BS185" s="865"/>
      <c r="BT185" s="865"/>
      <c r="BU185" s="865"/>
      <c r="BV185" s="865"/>
      <c r="BW185" s="865"/>
      <c r="BX185" s="865"/>
      <c r="BY185" s="865"/>
      <c r="BZ185" s="865"/>
      <c r="CA185" s="865"/>
      <c r="CB185" s="865"/>
      <c r="CC185" s="865"/>
      <c r="CD185" s="865"/>
      <c r="CE185" s="606"/>
      <c r="CF185" s="606"/>
      <c r="CG185" s="606"/>
      <c r="CH185" s="606"/>
      <c r="CI185" s="606"/>
      <c r="CJ185" s="606"/>
      <c r="CK185" s="606"/>
      <c r="CL185" s="606"/>
      <c r="CM185" s="606"/>
      <c r="CN185" s="606"/>
      <c r="CO185" s="606"/>
      <c r="CP185" s="606"/>
      <c r="CQ185" s="606"/>
      <c r="CR185" s="606"/>
      <c r="CS185" s="606"/>
      <c r="CT185" s="606"/>
      <c r="CU185" s="606"/>
      <c r="CV185" s="606"/>
      <c r="CW185" s="606"/>
      <c r="CX185" s="606"/>
      <c r="CY185" s="606"/>
      <c r="CZ185" s="606"/>
      <c r="DA185" s="606"/>
      <c r="DB185" s="606"/>
      <c r="DC185" s="606"/>
      <c r="DD185" s="606"/>
      <c r="DE185" s="606"/>
      <c r="DF185" s="606"/>
      <c r="DG185" s="606"/>
      <c r="DH185" s="606"/>
      <c r="DI185" s="606"/>
      <c r="DJ185" s="606"/>
      <c r="DK185" s="606"/>
      <c r="DL185" s="606"/>
      <c r="DM185" s="606"/>
      <c r="DN185" s="606"/>
      <c r="DO185" s="606"/>
      <c r="DP185" s="606"/>
      <c r="DQ185" s="606"/>
      <c r="DR185" s="606"/>
      <c r="DS185" s="606"/>
      <c r="DT185" s="606"/>
      <c r="DU185" s="606"/>
      <c r="DV185" s="606"/>
      <c r="DW185" s="606"/>
      <c r="DX185" s="606"/>
    </row>
    <row r="186" spans="1:128" ht="15.75" customHeight="1" thickBot="1" x14ac:dyDescent="0.3">
      <c r="A186" s="1"/>
      <c r="B186" s="15"/>
      <c r="C186" s="971">
        <v>120</v>
      </c>
      <c r="D186" s="972"/>
      <c r="E186" s="638">
        <v>0.12</v>
      </c>
      <c r="F186" s="594">
        <v>1200</v>
      </c>
      <c r="G186" s="965">
        <v>3.6999999999999998E-2</v>
      </c>
      <c r="H186" s="966"/>
      <c r="I186" s="512"/>
      <c r="J186" s="6"/>
      <c r="K186" s="650"/>
      <c r="L186" s="376"/>
      <c r="M186" s="56"/>
      <c r="N186" s="412"/>
      <c r="O186" s="62" t="s">
        <v>94</v>
      </c>
      <c r="P186" s="63"/>
      <c r="Q186" s="93" t="s">
        <v>92</v>
      </c>
      <c r="R186" s="101">
        <f>IF(R157="sumidouro",3.5,"----")</f>
        <v>3.5</v>
      </c>
      <c r="S186" s="66">
        <f>Q174</f>
        <v>2</v>
      </c>
      <c r="T186" s="100" t="str">
        <f>IF(Q174 &lt;=R186,"Atende","Não Atende")</f>
        <v>Atende</v>
      </c>
      <c r="U186" s="410"/>
      <c r="V186" s="315"/>
      <c r="W186" s="1"/>
      <c r="X186" s="470"/>
      <c r="Y186" s="470"/>
      <c r="Z186" s="470"/>
      <c r="AA186" s="470"/>
      <c r="AB186" s="470"/>
      <c r="AC186" s="470"/>
      <c r="AD186" s="470"/>
      <c r="AE186" s="470"/>
      <c r="AF186" s="470"/>
      <c r="AG186" s="470"/>
      <c r="AH186" s="470"/>
      <c r="AI186" s="470"/>
      <c r="AJ186" s="470"/>
      <c r="AK186" s="470"/>
      <c r="AL186" s="470"/>
      <c r="AM186" s="470"/>
      <c r="AN186" s="470"/>
      <c r="AO186" s="470"/>
      <c r="AP186" s="470"/>
      <c r="AQ186" s="470"/>
      <c r="AR186" s="470"/>
      <c r="AS186" s="470"/>
      <c r="AT186" s="470"/>
      <c r="AU186" s="470"/>
      <c r="AV186" s="470"/>
      <c r="AW186" s="470"/>
      <c r="AX186" s="470"/>
      <c r="AY186" s="470"/>
      <c r="AZ186" s="470"/>
      <c r="BA186" s="470"/>
      <c r="BB186" s="470"/>
      <c r="BC186" s="470"/>
      <c r="BD186" s="470"/>
      <c r="BE186" s="470"/>
      <c r="BF186" s="470"/>
      <c r="BG186" s="470"/>
      <c r="BH186" s="470"/>
      <c r="BI186" s="470"/>
      <c r="BJ186" s="470"/>
      <c r="BK186" s="800"/>
      <c r="BL186" s="822"/>
      <c r="BM186" s="821"/>
      <c r="BN186" s="945"/>
      <c r="BO186" s="945"/>
      <c r="BP186" s="865"/>
      <c r="BQ186" s="865"/>
      <c r="BR186" s="865"/>
      <c r="BS186" s="865"/>
      <c r="BT186" s="865"/>
      <c r="BU186" s="865"/>
      <c r="BV186" s="865"/>
      <c r="BW186" s="865"/>
      <c r="BX186" s="865"/>
      <c r="BY186" s="865"/>
      <c r="BZ186" s="865"/>
      <c r="CA186" s="865"/>
      <c r="CB186" s="865"/>
      <c r="CC186" s="865"/>
      <c r="CD186" s="865"/>
      <c r="CE186" s="606"/>
      <c r="CF186" s="606"/>
      <c r="CG186" s="606"/>
      <c r="CH186" s="606"/>
      <c r="CI186" s="606"/>
      <c r="CJ186" s="606"/>
      <c r="CK186" s="606"/>
      <c r="CL186" s="606"/>
      <c r="CM186" s="606"/>
      <c r="CN186" s="606"/>
      <c r="CO186" s="606"/>
      <c r="CP186" s="606"/>
      <c r="CQ186" s="606"/>
      <c r="CR186" s="606"/>
      <c r="CS186" s="606"/>
      <c r="CT186" s="606"/>
      <c r="CU186" s="606"/>
      <c r="CV186" s="606"/>
      <c r="CW186" s="606"/>
      <c r="CX186" s="606"/>
      <c r="CY186" s="606"/>
      <c r="CZ186" s="606"/>
      <c r="DA186" s="606"/>
      <c r="DB186" s="606"/>
      <c r="DC186" s="606"/>
      <c r="DD186" s="606"/>
      <c r="DE186" s="606"/>
      <c r="DF186" s="606"/>
      <c r="DG186" s="606"/>
      <c r="DH186" s="606"/>
      <c r="DI186" s="606"/>
      <c r="DJ186" s="606"/>
      <c r="DK186" s="606"/>
      <c r="DL186" s="606"/>
      <c r="DM186" s="606"/>
      <c r="DN186" s="606"/>
      <c r="DO186" s="606"/>
      <c r="DP186" s="606"/>
      <c r="DQ186" s="606"/>
      <c r="DR186" s="606"/>
      <c r="DS186" s="606"/>
      <c r="DT186" s="606"/>
      <c r="DU186" s="606"/>
      <c r="DV186" s="606"/>
      <c r="DW186" s="606"/>
      <c r="DX186" s="606"/>
    </row>
    <row r="187" spans="1:128" ht="15.75" customHeight="1" thickBot="1" x14ac:dyDescent="0.3">
      <c r="A187" s="1"/>
      <c r="B187" s="15"/>
      <c r="C187" s="971">
        <v>160</v>
      </c>
      <c r="D187" s="972"/>
      <c r="E187" s="644">
        <v>0.1</v>
      </c>
      <c r="F187" s="594">
        <v>1400</v>
      </c>
      <c r="G187" s="965">
        <v>3.2000000000000001E-2</v>
      </c>
      <c r="H187" s="966"/>
      <c r="I187" s="512"/>
      <c r="J187" s="6"/>
      <c r="K187" s="650"/>
      <c r="L187" s="376"/>
      <c r="M187" s="26"/>
      <c r="N187" s="412"/>
      <c r="O187" s="81" t="s">
        <v>117</v>
      </c>
      <c r="P187" s="82"/>
      <c r="Q187" s="91">
        <f>IF(R157="sumidouro",U170,"----")</f>
        <v>13.333333333333334</v>
      </c>
      <c r="R187" s="76" t="s">
        <v>92</v>
      </c>
      <c r="S187" s="83">
        <f>IF(Q177="sim",U178,U174)</f>
        <v>22.4</v>
      </c>
      <c r="T187" s="67" t="str">
        <f>IF(S187&gt;=Q187,"Atende","Não atende")</f>
        <v>Atende</v>
      </c>
      <c r="U187" s="409"/>
      <c r="V187" s="315"/>
      <c r="W187" s="1"/>
      <c r="X187" s="470"/>
      <c r="Y187" s="470"/>
      <c r="Z187" s="470"/>
      <c r="AA187" s="470"/>
      <c r="AB187" s="470"/>
      <c r="AC187" s="470"/>
      <c r="AD187" s="470"/>
      <c r="AE187" s="470"/>
      <c r="AF187" s="470"/>
      <c r="AG187" s="470"/>
      <c r="AH187" s="470"/>
      <c r="AI187" s="470"/>
      <c r="AJ187" s="470"/>
      <c r="AK187" s="470"/>
      <c r="AL187" s="470"/>
      <c r="AM187" s="470"/>
      <c r="AN187" s="470"/>
      <c r="AO187" s="470"/>
      <c r="AP187" s="470"/>
      <c r="AQ187" s="470"/>
      <c r="AR187" s="470"/>
      <c r="AS187" s="470"/>
      <c r="AT187" s="470"/>
      <c r="AU187" s="470"/>
      <c r="AV187" s="470"/>
      <c r="AW187" s="470"/>
      <c r="AX187" s="470"/>
      <c r="AY187" s="470"/>
      <c r="AZ187" s="470"/>
      <c r="BA187" s="470"/>
      <c r="BB187" s="470"/>
      <c r="BC187" s="470"/>
      <c r="BD187" s="470"/>
      <c r="BE187" s="470"/>
      <c r="BF187" s="470"/>
      <c r="BG187" s="470"/>
      <c r="BH187" s="470"/>
      <c r="BI187" s="470"/>
      <c r="BJ187" s="470"/>
      <c r="BK187" s="800"/>
      <c r="BL187" s="822"/>
      <c r="BM187" s="821" t="s">
        <v>341</v>
      </c>
      <c r="BN187" s="944">
        <f>S235</f>
        <v>3</v>
      </c>
      <c r="BO187" s="821"/>
      <c r="BP187" s="865"/>
      <c r="BQ187" s="865"/>
      <c r="BR187" s="865"/>
      <c r="BS187" s="865"/>
      <c r="BT187" s="865"/>
      <c r="BU187" s="865"/>
      <c r="BV187" s="865"/>
      <c r="BW187" s="865"/>
      <c r="BX187" s="865"/>
      <c r="BY187" s="865"/>
      <c r="BZ187" s="865"/>
      <c r="CA187" s="865"/>
      <c r="CB187" s="865"/>
      <c r="CC187" s="865"/>
      <c r="CD187" s="865"/>
      <c r="CE187" s="606"/>
      <c r="CF187" s="606"/>
      <c r="CG187" s="606"/>
      <c r="CH187" s="606"/>
      <c r="CI187" s="606"/>
      <c r="CJ187" s="606"/>
      <c r="CK187" s="606"/>
      <c r="CL187" s="606"/>
      <c r="CM187" s="606"/>
      <c r="CN187" s="606"/>
      <c r="CO187" s="606"/>
      <c r="CP187" s="606"/>
      <c r="CQ187" s="606"/>
      <c r="CR187" s="606"/>
      <c r="CS187" s="606"/>
      <c r="CT187" s="606"/>
      <c r="CU187" s="606"/>
      <c r="CV187" s="606"/>
      <c r="CW187" s="606"/>
      <c r="CX187" s="606"/>
      <c r="CY187" s="606"/>
      <c r="CZ187" s="606"/>
      <c r="DA187" s="606"/>
      <c r="DB187" s="606"/>
      <c r="DC187" s="606"/>
      <c r="DD187" s="606"/>
      <c r="DE187" s="606"/>
      <c r="DF187" s="606"/>
      <c r="DG187" s="606"/>
      <c r="DH187" s="606"/>
      <c r="DI187" s="606"/>
      <c r="DJ187" s="606"/>
      <c r="DK187" s="606"/>
      <c r="DL187" s="606"/>
      <c r="DM187" s="606"/>
      <c r="DN187" s="606"/>
      <c r="DO187" s="606"/>
      <c r="DP187" s="606"/>
      <c r="DQ187" s="606"/>
      <c r="DR187" s="606"/>
      <c r="DS187" s="606"/>
      <c r="DT187" s="606"/>
      <c r="DU187" s="606"/>
      <c r="DV187" s="606"/>
      <c r="DW187" s="606"/>
      <c r="DX187" s="606"/>
    </row>
    <row r="188" spans="1:128" ht="16.5" customHeight="1" thickBot="1" x14ac:dyDescent="0.3">
      <c r="A188" s="1"/>
      <c r="B188" s="15"/>
      <c r="C188" s="967">
        <v>200</v>
      </c>
      <c r="D188" s="968"/>
      <c r="E188" s="635">
        <v>0.09</v>
      </c>
      <c r="F188" s="710">
        <v>2400</v>
      </c>
      <c r="G188" s="967">
        <v>1.4E-2</v>
      </c>
      <c r="H188" s="968"/>
      <c r="I188" s="512"/>
      <c r="J188" s="6"/>
      <c r="K188" s="650"/>
      <c r="L188" s="376"/>
      <c r="M188" s="26"/>
      <c r="N188" s="56"/>
      <c r="O188" s="468"/>
      <c r="P188" s="26"/>
      <c r="Q188" s="296"/>
      <c r="R188" s="408"/>
      <c r="S188" s="408"/>
      <c r="T188" s="405"/>
      <c r="U188" s="409"/>
      <c r="V188" s="315"/>
      <c r="W188" s="1"/>
      <c r="X188" s="470"/>
      <c r="Y188" s="470"/>
      <c r="Z188" s="470"/>
      <c r="AA188" s="470"/>
      <c r="AB188" s="470"/>
      <c r="AC188" s="470"/>
      <c r="AD188" s="470"/>
      <c r="AE188" s="470"/>
      <c r="AF188" s="470"/>
      <c r="AG188" s="470"/>
      <c r="AH188" s="470"/>
      <c r="AI188" s="470"/>
      <c r="AJ188" s="470"/>
      <c r="AK188" s="470"/>
      <c r="AL188" s="470"/>
      <c r="AM188" s="470"/>
      <c r="AN188" s="470"/>
      <c r="AO188" s="470"/>
      <c r="AP188" s="470"/>
      <c r="AQ188" s="470"/>
      <c r="AR188" s="470"/>
      <c r="AS188" s="470"/>
      <c r="AT188" s="470"/>
      <c r="AU188" s="470"/>
      <c r="AV188" s="470"/>
      <c r="AW188" s="470"/>
      <c r="AX188" s="470"/>
      <c r="AY188" s="470"/>
      <c r="AZ188" s="470"/>
      <c r="BA188" s="470"/>
      <c r="BB188" s="470"/>
      <c r="BC188" s="470"/>
      <c r="BD188" s="470"/>
      <c r="BE188" s="470"/>
      <c r="BF188" s="470"/>
      <c r="BG188" s="470"/>
      <c r="BH188" s="470"/>
      <c r="BI188" s="470"/>
      <c r="BJ188" s="470"/>
      <c r="BK188" s="800"/>
      <c r="BL188" s="822"/>
      <c r="BM188" s="821"/>
      <c r="BN188" s="857"/>
      <c r="BO188" s="857"/>
      <c r="BP188" s="865"/>
      <c r="BQ188" s="865"/>
      <c r="BR188" s="865"/>
      <c r="BS188" s="865"/>
      <c r="BT188" s="865"/>
      <c r="BU188" s="865"/>
      <c r="BV188" s="865"/>
      <c r="BW188" s="865"/>
      <c r="BX188" s="865"/>
      <c r="BY188" s="865"/>
      <c r="BZ188" s="865"/>
      <c r="CA188" s="865"/>
      <c r="CB188" s="865"/>
      <c r="CC188" s="865"/>
      <c r="CD188" s="865"/>
      <c r="CE188" s="606"/>
      <c r="CF188" s="606"/>
      <c r="CG188" s="606"/>
      <c r="CH188" s="606"/>
      <c r="CI188" s="606"/>
      <c r="CJ188" s="606"/>
      <c r="CK188" s="606"/>
      <c r="CL188" s="606"/>
      <c r="CM188" s="606"/>
      <c r="CN188" s="606"/>
      <c r="CO188" s="606"/>
      <c r="CP188" s="606"/>
      <c r="CQ188" s="606"/>
      <c r="CR188" s="606"/>
      <c r="CS188" s="606"/>
      <c r="CT188" s="606"/>
      <c r="CU188" s="606"/>
      <c r="CV188" s="606"/>
      <c r="CW188" s="606"/>
      <c r="CX188" s="606"/>
      <c r="CY188" s="606"/>
      <c r="CZ188" s="606"/>
      <c r="DA188" s="606"/>
      <c r="DB188" s="606"/>
      <c r="DC188" s="606"/>
      <c r="DD188" s="606"/>
      <c r="DE188" s="606"/>
      <c r="DF188" s="606"/>
      <c r="DG188" s="606"/>
      <c r="DH188" s="606"/>
      <c r="DI188" s="606"/>
      <c r="DJ188" s="606"/>
      <c r="DK188" s="606"/>
      <c r="DL188" s="606"/>
      <c r="DM188" s="606"/>
      <c r="DN188" s="606"/>
      <c r="DO188" s="606"/>
      <c r="DP188" s="606"/>
      <c r="DQ188" s="606"/>
      <c r="DR188" s="606"/>
      <c r="DS188" s="606"/>
      <c r="DT188" s="606"/>
      <c r="DU188" s="606"/>
      <c r="DV188" s="606"/>
      <c r="DW188" s="606"/>
      <c r="DX188" s="606"/>
    </row>
    <row r="189" spans="1:128" ht="15.75" customHeight="1" x14ac:dyDescent="0.25">
      <c r="A189" s="1"/>
      <c r="B189" s="15"/>
      <c r="C189" s="514"/>
      <c r="D189" s="77"/>
      <c r="E189" s="17"/>
      <c r="F189" s="17"/>
      <c r="G189" s="17"/>
      <c r="H189" s="89"/>
      <c r="I189" s="512"/>
      <c r="J189" s="6"/>
      <c r="K189" s="650"/>
      <c r="L189" s="376"/>
      <c r="M189" s="26"/>
      <c r="N189" s="56"/>
      <c r="O189" s="296" t="s">
        <v>219</v>
      </c>
      <c r="P189" s="26"/>
      <c r="Q189" s="296"/>
      <c r="R189" s="408"/>
      <c r="S189" s="408"/>
      <c r="T189" s="405"/>
      <c r="U189" s="409"/>
      <c r="V189" s="315"/>
      <c r="W189" s="1"/>
      <c r="X189" s="470"/>
      <c r="Y189" s="470"/>
      <c r="Z189" s="470"/>
      <c r="AA189" s="470"/>
      <c r="AB189" s="470"/>
      <c r="AC189" s="470"/>
      <c r="AD189" s="470"/>
      <c r="AE189" s="470"/>
      <c r="AF189" s="470"/>
      <c r="AG189" s="470"/>
      <c r="AH189" s="470"/>
      <c r="AI189" s="470"/>
      <c r="AJ189" s="470"/>
      <c r="AK189" s="470"/>
      <c r="AL189" s="470"/>
      <c r="AM189" s="470"/>
      <c r="AN189" s="470"/>
      <c r="AO189" s="470"/>
      <c r="AP189" s="470"/>
      <c r="AQ189" s="470"/>
      <c r="AR189" s="470"/>
      <c r="AS189" s="470"/>
      <c r="AT189" s="470"/>
      <c r="AU189" s="470"/>
      <c r="AV189" s="470"/>
      <c r="AW189" s="470"/>
      <c r="AX189" s="470"/>
      <c r="AY189" s="470"/>
      <c r="AZ189" s="470"/>
      <c r="BA189" s="470"/>
      <c r="BB189" s="470"/>
      <c r="BC189" s="470"/>
      <c r="BD189" s="470"/>
      <c r="BE189" s="470"/>
      <c r="BF189" s="470"/>
      <c r="BG189" s="470"/>
      <c r="BH189" s="470"/>
      <c r="BI189" s="470"/>
      <c r="BJ189" s="470"/>
      <c r="BK189" s="800"/>
      <c r="BL189" s="822"/>
      <c r="BM189" s="821"/>
      <c r="BN189" s="946" t="str">
        <f>IF(BO185=2,"2:1",IF(BO185=1,"1:1","????"))</f>
        <v>1:1</v>
      </c>
      <c r="BO189" s="857"/>
      <c r="BP189" s="865"/>
      <c r="BQ189" s="865"/>
      <c r="BR189" s="865"/>
      <c r="BS189" s="865"/>
      <c r="BT189" s="865"/>
      <c r="BU189" s="865"/>
      <c r="BV189" s="865"/>
      <c r="BW189" s="865"/>
      <c r="BX189" s="865"/>
      <c r="BY189" s="865"/>
      <c r="BZ189" s="865"/>
      <c r="CA189" s="865"/>
      <c r="CB189" s="865"/>
      <c r="CC189" s="865"/>
      <c r="CD189" s="865"/>
      <c r="CE189" s="606"/>
      <c r="CF189" s="606"/>
      <c r="CG189" s="606"/>
      <c r="CH189" s="606"/>
      <c r="CI189" s="606"/>
      <c r="CJ189" s="606"/>
      <c r="CK189" s="606"/>
      <c r="CL189" s="606"/>
      <c r="CM189" s="606"/>
      <c r="CN189" s="606"/>
      <c r="CO189" s="606"/>
      <c r="CP189" s="606"/>
      <c r="CQ189" s="606"/>
      <c r="CR189" s="606"/>
      <c r="CS189" s="606"/>
      <c r="CT189" s="606"/>
      <c r="CU189" s="606"/>
      <c r="CV189" s="606"/>
      <c r="CW189" s="606"/>
      <c r="CX189" s="606"/>
      <c r="CY189" s="606"/>
      <c r="CZ189" s="606"/>
      <c r="DA189" s="606"/>
      <c r="DB189" s="606"/>
      <c r="DC189" s="606"/>
      <c r="DD189" s="606"/>
      <c r="DE189" s="606"/>
      <c r="DF189" s="606"/>
      <c r="DG189" s="606"/>
      <c r="DH189" s="606"/>
      <c r="DI189" s="606"/>
      <c r="DJ189" s="606"/>
      <c r="DK189" s="606"/>
      <c r="DL189" s="606"/>
      <c r="DM189" s="606"/>
      <c r="DN189" s="606"/>
      <c r="DO189" s="606"/>
      <c r="DP189" s="606"/>
      <c r="DQ189" s="606"/>
      <c r="DR189" s="606"/>
      <c r="DS189" s="606"/>
      <c r="DT189" s="606"/>
      <c r="DU189" s="606"/>
      <c r="DV189" s="606"/>
      <c r="DW189" s="606"/>
      <c r="DX189" s="606"/>
    </row>
    <row r="190" spans="1:128" ht="15.75" customHeight="1" x14ac:dyDescent="0.25">
      <c r="A190" s="1"/>
      <c r="B190" s="15"/>
      <c r="C190" s="77" t="s">
        <v>261</v>
      </c>
      <c r="D190" s="109"/>
      <c r="E190" s="17"/>
      <c r="F190" s="17"/>
      <c r="G190" s="17"/>
      <c r="H190" s="89"/>
      <c r="I190" s="512"/>
      <c r="J190" s="6"/>
      <c r="K190" s="650"/>
      <c r="L190" s="376"/>
      <c r="M190" s="26"/>
      <c r="N190" s="56"/>
      <c r="O190" s="26"/>
      <c r="P190" s="26"/>
      <c r="Q190" s="296"/>
      <c r="R190" s="408"/>
      <c r="S190" s="408"/>
      <c r="T190" s="405"/>
      <c r="U190" s="409"/>
      <c r="V190" s="315"/>
      <c r="W190" s="1"/>
      <c r="X190" s="470"/>
      <c r="Y190" s="470"/>
      <c r="Z190" s="470"/>
      <c r="AA190" s="470"/>
      <c r="AB190" s="470"/>
      <c r="AC190" s="470"/>
      <c r="AD190" s="470"/>
      <c r="AE190" s="470"/>
      <c r="AF190" s="470"/>
      <c r="AG190" s="470"/>
      <c r="AH190" s="470"/>
      <c r="AI190" s="470"/>
      <c r="AJ190" s="470"/>
      <c r="AK190" s="470"/>
      <c r="AL190" s="470"/>
      <c r="AM190" s="470"/>
      <c r="AN190" s="470"/>
      <c r="AO190" s="470"/>
      <c r="AP190" s="470"/>
      <c r="AQ190" s="470"/>
      <c r="AR190" s="470"/>
      <c r="AS190" s="470"/>
      <c r="AT190" s="470"/>
      <c r="AU190" s="470"/>
      <c r="AV190" s="470"/>
      <c r="AW190" s="470"/>
      <c r="AX190" s="470"/>
      <c r="AY190" s="470"/>
      <c r="AZ190" s="470"/>
      <c r="BA190" s="470"/>
      <c r="BB190" s="470"/>
      <c r="BC190" s="470"/>
      <c r="BD190" s="470"/>
      <c r="BE190" s="470"/>
      <c r="BF190" s="470"/>
      <c r="BG190" s="470"/>
      <c r="BH190" s="470"/>
      <c r="BI190" s="470"/>
      <c r="BJ190" s="470"/>
      <c r="BK190" s="800"/>
      <c r="BL190" s="857"/>
      <c r="BM190" s="857"/>
      <c r="BN190" s="865"/>
      <c r="BO190" s="865"/>
      <c r="BP190" s="865"/>
      <c r="BQ190" s="865"/>
      <c r="BR190" s="865"/>
      <c r="BS190" s="865"/>
      <c r="BT190" s="865"/>
      <c r="BU190" s="865"/>
      <c r="BV190" s="865"/>
      <c r="BW190" s="865"/>
      <c r="BX190" s="865"/>
      <c r="BY190" s="865"/>
      <c r="BZ190" s="865"/>
      <c r="CA190" s="865"/>
      <c r="CB190" s="865"/>
      <c r="CC190" s="865"/>
      <c r="CD190" s="865"/>
      <c r="CE190" s="606"/>
      <c r="CF190" s="606"/>
      <c r="CG190" s="606"/>
      <c r="CH190" s="606"/>
      <c r="CI190" s="606"/>
      <c r="CJ190" s="606"/>
      <c r="CK190" s="606"/>
      <c r="CL190" s="606"/>
      <c r="CM190" s="606"/>
      <c r="CN190" s="606"/>
      <c r="CO190" s="606"/>
      <c r="CP190" s="606"/>
      <c r="CQ190" s="606"/>
      <c r="CR190" s="606"/>
      <c r="CS190" s="606"/>
      <c r="CT190" s="606"/>
      <c r="CU190" s="606"/>
      <c r="CV190" s="606"/>
      <c r="CW190" s="606"/>
      <c r="CX190" s="606"/>
      <c r="CY190" s="606"/>
      <c r="CZ190" s="606"/>
      <c r="DA190" s="606"/>
      <c r="DB190" s="606"/>
      <c r="DC190" s="606"/>
      <c r="DD190" s="606"/>
      <c r="DE190" s="606"/>
      <c r="DF190" s="606"/>
      <c r="DG190" s="606"/>
      <c r="DH190" s="606"/>
      <c r="DI190" s="606"/>
      <c r="DJ190" s="606"/>
      <c r="DK190" s="606"/>
      <c r="DL190" s="606"/>
      <c r="DM190" s="606"/>
      <c r="DN190" s="606"/>
      <c r="DO190" s="606"/>
      <c r="DP190" s="606"/>
      <c r="DQ190" s="606"/>
      <c r="DR190" s="606"/>
      <c r="DS190" s="606"/>
      <c r="DT190" s="606"/>
      <c r="DU190" s="606"/>
      <c r="DV190" s="606"/>
      <c r="DW190" s="606"/>
      <c r="DX190" s="606"/>
    </row>
    <row r="191" spans="1:128" ht="15.75" customHeight="1" x14ac:dyDescent="0.25">
      <c r="A191" s="1"/>
      <c r="B191" s="15"/>
      <c r="C191" s="77"/>
      <c r="D191" s="109"/>
      <c r="E191" s="17"/>
      <c r="F191" s="17"/>
      <c r="G191" s="17"/>
      <c r="H191" s="89"/>
      <c r="I191" s="512"/>
      <c r="J191" s="6"/>
      <c r="K191" s="650"/>
      <c r="L191" s="376"/>
      <c r="M191" s="26"/>
      <c r="N191" s="56"/>
      <c r="O191" s="26" t="s">
        <v>247</v>
      </c>
      <c r="P191" s="26"/>
      <c r="Q191" s="296"/>
      <c r="R191" s="408"/>
      <c r="S191" s="408"/>
      <c r="T191" s="405"/>
      <c r="U191" s="409"/>
      <c r="V191" s="315"/>
      <c r="W191" s="1"/>
      <c r="X191" s="470"/>
      <c r="Y191" s="470"/>
      <c r="Z191" s="470"/>
      <c r="AA191" s="470"/>
      <c r="AB191" s="470"/>
      <c r="AC191" s="470"/>
      <c r="AD191" s="470"/>
      <c r="AE191" s="470"/>
      <c r="AF191" s="470"/>
      <c r="AG191" s="470"/>
      <c r="AH191" s="470"/>
      <c r="AI191" s="470"/>
      <c r="AJ191" s="470"/>
      <c r="AK191" s="470"/>
      <c r="AL191" s="470"/>
      <c r="AM191" s="470"/>
      <c r="AN191" s="470"/>
      <c r="AO191" s="470"/>
      <c r="AP191" s="470"/>
      <c r="AQ191" s="470"/>
      <c r="AR191" s="470"/>
      <c r="AS191" s="470"/>
      <c r="AT191" s="470"/>
      <c r="AU191" s="470"/>
      <c r="AV191" s="470"/>
      <c r="AW191" s="470"/>
      <c r="AX191" s="470"/>
      <c r="AY191" s="470"/>
      <c r="AZ191" s="470"/>
      <c r="BA191" s="470"/>
      <c r="BB191" s="470"/>
      <c r="BC191" s="470"/>
      <c r="BD191" s="470"/>
      <c r="BE191" s="470"/>
      <c r="BF191" s="470"/>
      <c r="BG191" s="470"/>
      <c r="BH191" s="470"/>
      <c r="BI191" s="470"/>
      <c r="BJ191" s="470"/>
      <c r="BK191" s="800"/>
      <c r="BL191" s="857"/>
      <c r="BM191" s="857"/>
      <c r="BN191" s="865"/>
      <c r="BO191" s="865"/>
      <c r="BP191" s="865"/>
      <c r="BQ191" s="865"/>
      <c r="BR191" s="865"/>
      <c r="BS191" s="865"/>
      <c r="BT191" s="865"/>
      <c r="BU191" s="865"/>
      <c r="BV191" s="865"/>
      <c r="BW191" s="865"/>
      <c r="BX191" s="865"/>
      <c r="BY191" s="865"/>
      <c r="BZ191" s="865"/>
      <c r="CA191" s="865"/>
      <c r="CB191" s="865"/>
      <c r="CC191" s="865"/>
      <c r="CD191" s="865"/>
      <c r="CE191" s="606"/>
      <c r="CF191" s="606"/>
      <c r="CG191" s="606"/>
      <c r="CH191" s="606"/>
      <c r="CI191" s="606"/>
      <c r="CJ191" s="606"/>
      <c r="CK191" s="606"/>
      <c r="CL191" s="606"/>
      <c r="CM191" s="606"/>
      <c r="CN191" s="606"/>
      <c r="CO191" s="606"/>
      <c r="CP191" s="606"/>
      <c r="CQ191" s="606"/>
      <c r="CR191" s="606"/>
      <c r="CS191" s="606"/>
      <c r="CT191" s="606"/>
      <c r="CU191" s="606"/>
      <c r="CV191" s="606"/>
      <c r="CW191" s="606"/>
      <c r="CX191" s="606"/>
      <c r="CY191" s="606"/>
      <c r="CZ191" s="606"/>
      <c r="DA191" s="606"/>
      <c r="DB191" s="606"/>
      <c r="DC191" s="606"/>
      <c r="DD191" s="606"/>
      <c r="DE191" s="606"/>
      <c r="DF191" s="606"/>
      <c r="DG191" s="606"/>
      <c r="DH191" s="606"/>
      <c r="DI191" s="606"/>
      <c r="DJ191" s="606"/>
      <c r="DK191" s="606"/>
      <c r="DL191" s="606"/>
      <c r="DM191" s="606"/>
      <c r="DN191" s="606"/>
      <c r="DO191" s="606"/>
      <c r="DP191" s="606"/>
      <c r="DQ191" s="606"/>
      <c r="DR191" s="606"/>
      <c r="DS191" s="606"/>
      <c r="DT191" s="606"/>
      <c r="DU191" s="606"/>
      <c r="DV191" s="606"/>
      <c r="DW191" s="606"/>
      <c r="DX191" s="606"/>
    </row>
    <row r="192" spans="1:128" ht="15.75" customHeight="1" x14ac:dyDescent="0.25">
      <c r="A192" s="1"/>
      <c r="B192" s="15"/>
      <c r="C192" s="61" t="s">
        <v>197</v>
      </c>
      <c r="D192" s="109"/>
      <c r="E192" s="17"/>
      <c r="F192" s="17"/>
      <c r="G192" s="17"/>
      <c r="H192" s="89"/>
      <c r="I192" s="512"/>
      <c r="J192" s="6"/>
      <c r="K192" s="650"/>
      <c r="L192" s="376"/>
      <c r="M192" s="26"/>
      <c r="N192" s="56"/>
      <c r="O192" s="26" t="s">
        <v>251</v>
      </c>
      <c r="P192" s="26"/>
      <c r="Q192" s="296"/>
      <c r="R192" s="408"/>
      <c r="S192" s="408"/>
      <c r="T192" s="405"/>
      <c r="U192" s="409"/>
      <c r="V192" s="315"/>
      <c r="W192" s="1"/>
      <c r="X192" s="470"/>
      <c r="Y192" s="470"/>
      <c r="Z192" s="470"/>
      <c r="AA192" s="470"/>
      <c r="AB192" s="470"/>
      <c r="AC192" s="470"/>
      <c r="AD192" s="470"/>
      <c r="AE192" s="470"/>
      <c r="AF192" s="470"/>
      <c r="AG192" s="470"/>
      <c r="AH192" s="470"/>
      <c r="AI192" s="470"/>
      <c r="AJ192" s="470"/>
      <c r="AK192" s="470"/>
      <c r="AL192" s="470"/>
      <c r="AM192" s="470"/>
      <c r="AN192" s="470"/>
      <c r="AO192" s="470"/>
      <c r="AP192" s="470"/>
      <c r="AQ192" s="470"/>
      <c r="AR192" s="470"/>
      <c r="AS192" s="470"/>
      <c r="AT192" s="470"/>
      <c r="AU192" s="470"/>
      <c r="AV192" s="470"/>
      <c r="AW192" s="470"/>
      <c r="AX192" s="470"/>
      <c r="AY192" s="470"/>
      <c r="AZ192" s="470"/>
      <c r="BA192" s="470"/>
      <c r="BB192" s="470"/>
      <c r="BC192" s="470"/>
      <c r="BD192" s="470"/>
      <c r="BE192" s="470"/>
      <c r="BF192" s="470"/>
      <c r="BG192" s="470"/>
      <c r="BH192" s="470"/>
      <c r="BI192" s="470"/>
      <c r="BJ192" s="470"/>
      <c r="BK192" s="800"/>
      <c r="BL192" s="857"/>
      <c r="BM192" s="857"/>
      <c r="BN192" s="865"/>
      <c r="BO192" s="865"/>
      <c r="BP192" s="865"/>
      <c r="BQ192" s="865"/>
      <c r="BR192" s="865"/>
      <c r="BS192" s="865"/>
      <c r="BT192" s="865"/>
      <c r="BU192" s="865"/>
      <c r="BV192" s="865"/>
      <c r="BW192" s="865"/>
      <c r="BX192" s="865"/>
      <c r="BY192" s="865"/>
      <c r="BZ192" s="865"/>
      <c r="CA192" s="865"/>
      <c r="CB192" s="865"/>
      <c r="CC192" s="865"/>
      <c r="CD192" s="865"/>
      <c r="CE192" s="606"/>
      <c r="CF192" s="606"/>
      <c r="CG192" s="606"/>
      <c r="CH192" s="606"/>
      <c r="CI192" s="606"/>
      <c r="CJ192" s="606"/>
      <c r="CK192" s="606"/>
      <c r="CL192" s="606"/>
      <c r="CM192" s="606"/>
      <c r="CN192" s="606"/>
      <c r="CO192" s="606"/>
      <c r="CP192" s="606"/>
      <c r="CQ192" s="606"/>
      <c r="CR192" s="606"/>
      <c r="CS192" s="606"/>
      <c r="CT192" s="606"/>
      <c r="CU192" s="606"/>
      <c r="CV192" s="606"/>
      <c r="CW192" s="606"/>
      <c r="CX192" s="606"/>
      <c r="CY192" s="606"/>
      <c r="CZ192" s="606"/>
      <c r="DA192" s="606"/>
      <c r="DB192" s="606"/>
      <c r="DC192" s="606"/>
      <c r="DD192" s="606"/>
      <c r="DE192" s="606"/>
      <c r="DF192" s="606"/>
      <c r="DG192" s="606"/>
      <c r="DH192" s="606"/>
      <c r="DI192" s="606"/>
      <c r="DJ192" s="606"/>
      <c r="DK192" s="606"/>
      <c r="DL192" s="606"/>
      <c r="DM192" s="606"/>
      <c r="DN192" s="606"/>
      <c r="DO192" s="606"/>
      <c r="DP192" s="606"/>
      <c r="DQ192" s="606"/>
      <c r="DR192" s="606"/>
      <c r="DS192" s="606"/>
      <c r="DT192" s="606"/>
      <c r="DU192" s="606"/>
      <c r="DV192" s="606"/>
      <c r="DW192" s="606"/>
      <c r="DX192" s="606"/>
    </row>
    <row r="193" spans="1:132" ht="15.75" customHeight="1" x14ac:dyDescent="0.25">
      <c r="A193" s="1"/>
      <c r="B193" s="15"/>
      <c r="C193" s="61" t="s">
        <v>199</v>
      </c>
      <c r="D193" s="109"/>
      <c r="E193" s="17"/>
      <c r="F193" s="17"/>
      <c r="G193" s="17"/>
      <c r="H193" s="89"/>
      <c r="I193" s="512"/>
      <c r="J193" s="6"/>
      <c r="K193" s="650"/>
      <c r="L193" s="376"/>
      <c r="M193" s="26"/>
      <c r="N193" s="56"/>
      <c r="O193" s="26" t="s">
        <v>248</v>
      </c>
      <c r="P193" s="26"/>
      <c r="Q193" s="296"/>
      <c r="R193" s="408"/>
      <c r="S193" s="408"/>
      <c r="T193" s="405"/>
      <c r="U193" s="409"/>
      <c r="V193" s="315"/>
      <c r="W193" s="1"/>
      <c r="X193" s="470"/>
      <c r="Y193" s="470"/>
      <c r="Z193" s="470"/>
      <c r="AA193" s="470"/>
      <c r="AB193" s="470"/>
      <c r="AC193" s="470"/>
      <c r="AD193" s="470"/>
      <c r="AE193" s="470"/>
      <c r="AF193" s="470"/>
      <c r="AG193" s="470"/>
      <c r="AH193" s="470"/>
      <c r="AI193" s="470"/>
      <c r="AJ193" s="470"/>
      <c r="AK193" s="470"/>
      <c r="AL193" s="470"/>
      <c r="AM193" s="470"/>
      <c r="AN193" s="470"/>
      <c r="AO193" s="470"/>
      <c r="AP193" s="470"/>
      <c r="AQ193" s="470"/>
      <c r="AR193" s="470"/>
      <c r="AS193" s="470"/>
      <c r="AT193" s="470"/>
      <c r="AU193" s="470"/>
      <c r="AV193" s="470"/>
      <c r="AW193" s="470"/>
      <c r="AX193" s="470"/>
      <c r="AY193" s="470"/>
      <c r="AZ193" s="470"/>
      <c r="BA193" s="470"/>
      <c r="BB193" s="470"/>
      <c r="BC193" s="470"/>
      <c r="BD193" s="470"/>
      <c r="BE193" s="470"/>
      <c r="BF193" s="470"/>
      <c r="BG193" s="470"/>
      <c r="BH193" s="470"/>
      <c r="BI193" s="470"/>
      <c r="BJ193" s="470"/>
      <c r="BK193" s="800"/>
      <c r="BL193" s="857"/>
      <c r="BM193" s="857"/>
      <c r="BN193" s="865"/>
      <c r="BO193" s="865"/>
      <c r="BP193" s="865"/>
      <c r="BQ193" s="865"/>
      <c r="BR193" s="865"/>
      <c r="BS193" s="865"/>
      <c r="BT193" s="865"/>
      <c r="BU193" s="865"/>
      <c r="BV193" s="865"/>
      <c r="BW193" s="865"/>
      <c r="BX193" s="865"/>
      <c r="BY193" s="865"/>
      <c r="BZ193" s="865"/>
      <c r="CA193" s="865"/>
      <c r="CB193" s="865"/>
      <c r="CC193" s="865"/>
      <c r="CD193" s="865"/>
      <c r="CE193" s="606"/>
      <c r="CF193" s="606"/>
      <c r="CG193" s="606"/>
      <c r="CH193" s="606"/>
      <c r="CI193" s="606"/>
      <c r="CJ193" s="606"/>
      <c r="CK193" s="606"/>
      <c r="CL193" s="606"/>
      <c r="CM193" s="606"/>
      <c r="CN193" s="606"/>
      <c r="CO193" s="606"/>
      <c r="CP193" s="606"/>
      <c r="CQ193" s="606"/>
      <c r="CR193" s="606"/>
      <c r="CS193" s="606"/>
      <c r="CT193" s="606"/>
      <c r="CU193" s="606"/>
      <c r="CV193" s="606"/>
      <c r="CW193" s="606"/>
      <c r="CX193" s="606"/>
      <c r="CY193" s="606"/>
      <c r="CZ193" s="606"/>
      <c r="DA193" s="606"/>
      <c r="DB193" s="606"/>
      <c r="DC193" s="606"/>
      <c r="DD193" s="606"/>
      <c r="DE193" s="606"/>
      <c r="DF193" s="606"/>
      <c r="DG193" s="606"/>
      <c r="DH193" s="606"/>
      <c r="DI193" s="606"/>
      <c r="DJ193" s="606"/>
      <c r="DK193" s="606"/>
      <c r="DL193" s="606"/>
      <c r="DM193" s="606"/>
      <c r="DN193" s="606"/>
      <c r="DO193" s="606"/>
      <c r="DP193" s="606"/>
      <c r="DQ193" s="606"/>
      <c r="DR193" s="606"/>
      <c r="DS193" s="606"/>
      <c r="DT193" s="606"/>
      <c r="DU193" s="606"/>
      <c r="DV193" s="606"/>
      <c r="DW193" s="606"/>
      <c r="DX193" s="606"/>
    </row>
    <row r="194" spans="1:132" ht="15.75" customHeight="1" x14ac:dyDescent="0.25">
      <c r="A194" s="1"/>
      <c r="B194" s="15"/>
      <c r="C194" s="61" t="s">
        <v>198</v>
      </c>
      <c r="D194" s="109"/>
      <c r="E194" s="17"/>
      <c r="F194" s="17"/>
      <c r="G194" s="17"/>
      <c r="H194" s="89"/>
      <c r="I194" s="512"/>
      <c r="J194" s="6"/>
      <c r="K194" s="650"/>
      <c r="L194" s="376"/>
      <c r="M194" s="26"/>
      <c r="N194" s="56"/>
      <c r="O194" s="26" t="s">
        <v>276</v>
      </c>
      <c r="P194" s="56"/>
      <c r="Q194" s="485"/>
      <c r="R194" s="485"/>
      <c r="S194" s="376"/>
      <c r="T194" s="405"/>
      <c r="U194" s="405"/>
      <c r="V194" s="315"/>
      <c r="W194" s="1"/>
      <c r="X194" s="470"/>
      <c r="Y194" s="470"/>
      <c r="Z194" s="470"/>
      <c r="AA194" s="470"/>
      <c r="AB194" s="470"/>
      <c r="AC194" s="470"/>
      <c r="AD194" s="470"/>
      <c r="AE194" s="470"/>
      <c r="AF194" s="470"/>
      <c r="AG194" s="470"/>
      <c r="AH194" s="470"/>
      <c r="AI194" s="470"/>
      <c r="AJ194" s="470"/>
      <c r="AK194" s="470"/>
      <c r="AL194" s="470"/>
      <c r="AM194" s="470"/>
      <c r="AN194" s="470"/>
      <c r="AO194" s="470"/>
      <c r="AP194" s="470"/>
      <c r="AQ194" s="470"/>
      <c r="AR194" s="470"/>
      <c r="AS194" s="470"/>
      <c r="AT194" s="470"/>
      <c r="AU194" s="470"/>
      <c r="AV194" s="470"/>
      <c r="AW194" s="470"/>
      <c r="AX194" s="470"/>
      <c r="AY194" s="470"/>
      <c r="AZ194" s="470"/>
      <c r="BA194" s="470"/>
      <c r="BB194" s="470"/>
      <c r="BC194" s="470"/>
      <c r="BD194" s="470"/>
      <c r="BE194" s="470"/>
      <c r="BF194" s="470"/>
      <c r="BG194" s="470"/>
      <c r="BH194" s="470"/>
      <c r="BI194" s="470"/>
      <c r="BJ194" s="470"/>
      <c r="BK194" s="800"/>
      <c r="BL194" s="857"/>
      <c r="BM194" s="857"/>
      <c r="BN194" s="865"/>
      <c r="BO194" s="865"/>
      <c r="BP194" s="865"/>
      <c r="BQ194" s="865"/>
      <c r="BR194" s="865"/>
      <c r="BS194" s="865"/>
      <c r="BT194" s="865"/>
      <c r="BU194" s="865"/>
      <c r="BV194" s="865"/>
      <c r="BW194" s="865"/>
      <c r="BX194" s="865"/>
      <c r="BY194" s="865"/>
      <c r="BZ194" s="865"/>
      <c r="CA194" s="865"/>
      <c r="CB194" s="865"/>
      <c r="CC194" s="865"/>
      <c r="CD194" s="865"/>
      <c r="CE194" s="606"/>
      <c r="CF194" s="606"/>
      <c r="CG194" s="606"/>
      <c r="CH194" s="606"/>
      <c r="CI194" s="606"/>
      <c r="CJ194" s="606"/>
      <c r="CK194" s="606"/>
      <c r="CL194" s="606"/>
      <c r="CM194" s="606"/>
      <c r="CN194" s="606"/>
      <c r="CO194" s="606"/>
      <c r="CP194" s="606"/>
      <c r="CQ194" s="606"/>
      <c r="CR194" s="606"/>
      <c r="CS194" s="606"/>
      <c r="CT194" s="606"/>
      <c r="CU194" s="606"/>
      <c r="CV194" s="606"/>
      <c r="CW194" s="606"/>
      <c r="CX194" s="606"/>
      <c r="CY194" s="606"/>
      <c r="CZ194" s="606"/>
      <c r="DA194" s="606"/>
      <c r="DB194" s="606"/>
      <c r="DC194" s="606"/>
      <c r="DD194" s="606"/>
      <c r="DE194" s="606"/>
      <c r="DF194" s="606"/>
      <c r="DG194" s="606"/>
      <c r="DH194" s="606"/>
      <c r="DI194" s="606"/>
      <c r="DJ194" s="606"/>
      <c r="DK194" s="606"/>
      <c r="DL194" s="606"/>
      <c r="DM194" s="606"/>
      <c r="DN194" s="606"/>
      <c r="DO194" s="606"/>
      <c r="DP194" s="606"/>
      <c r="DQ194" s="606"/>
      <c r="DR194" s="606"/>
      <c r="DS194" s="606"/>
      <c r="DT194" s="606"/>
      <c r="DU194" s="606"/>
      <c r="DV194" s="606"/>
      <c r="DW194" s="606"/>
      <c r="DX194" s="606"/>
    </row>
    <row r="195" spans="1:132" ht="15.75" customHeight="1" x14ac:dyDescent="0.25">
      <c r="A195" s="1"/>
      <c r="B195" s="15"/>
      <c r="C195" s="52"/>
      <c r="D195" s="109"/>
      <c r="E195" s="17"/>
      <c r="F195" s="17"/>
      <c r="G195" s="17"/>
      <c r="H195" s="89"/>
      <c r="I195" s="512"/>
      <c r="J195" s="6"/>
      <c r="K195" s="650"/>
      <c r="L195" s="376"/>
      <c r="M195" s="26"/>
      <c r="N195" s="56"/>
      <c r="O195" s="376" t="s">
        <v>249</v>
      </c>
      <c r="P195" s="56"/>
      <c r="Q195" s="485"/>
      <c r="R195" s="485"/>
      <c r="S195" s="376"/>
      <c r="T195" s="405"/>
      <c r="U195" s="405"/>
      <c r="V195" s="315"/>
      <c r="W195" s="1"/>
      <c r="X195" s="470"/>
      <c r="Y195" s="470"/>
      <c r="Z195" s="470"/>
      <c r="AA195" s="470"/>
      <c r="AB195" s="470"/>
      <c r="AC195" s="470"/>
      <c r="AD195" s="470"/>
      <c r="AE195" s="470"/>
      <c r="AF195" s="470"/>
      <c r="AG195" s="470"/>
      <c r="AH195" s="470"/>
      <c r="AI195" s="470"/>
      <c r="AJ195" s="470"/>
      <c r="AK195" s="470"/>
      <c r="AL195" s="470"/>
      <c r="AM195" s="470"/>
      <c r="AN195" s="470"/>
      <c r="AO195" s="470"/>
      <c r="AP195" s="470"/>
      <c r="AQ195" s="470"/>
      <c r="AR195" s="470"/>
      <c r="AS195" s="470"/>
      <c r="AT195" s="470"/>
      <c r="AU195" s="470"/>
      <c r="AV195" s="470"/>
      <c r="AW195" s="470"/>
      <c r="AX195" s="470"/>
      <c r="AY195" s="470"/>
      <c r="AZ195" s="470"/>
      <c r="BA195" s="470"/>
      <c r="BB195" s="470"/>
      <c r="BC195" s="470"/>
      <c r="BD195" s="470"/>
      <c r="BE195" s="470"/>
      <c r="BF195" s="470"/>
      <c r="BG195" s="470"/>
      <c r="BH195" s="470"/>
      <c r="BI195" s="470"/>
      <c r="BJ195" s="470"/>
      <c r="BK195" s="800"/>
      <c r="BL195" s="857"/>
      <c r="BM195" s="857"/>
      <c r="BN195" s="865"/>
      <c r="BO195" s="865"/>
      <c r="BP195" s="865"/>
      <c r="BQ195" s="865"/>
      <c r="BR195" s="865"/>
      <c r="BS195" s="865"/>
      <c r="BT195" s="865"/>
      <c r="BU195" s="865"/>
      <c r="BV195" s="865"/>
      <c r="BW195" s="865"/>
      <c r="BX195" s="865"/>
      <c r="BY195" s="865"/>
      <c r="BZ195" s="865"/>
      <c r="CA195" s="865"/>
      <c r="CB195" s="865"/>
      <c r="CC195" s="865"/>
      <c r="CD195" s="865"/>
      <c r="CE195" s="606"/>
      <c r="CF195" s="606"/>
      <c r="CG195" s="606"/>
      <c r="CH195" s="606"/>
      <c r="CI195" s="606"/>
      <c r="CJ195" s="606"/>
      <c r="CK195" s="606"/>
      <c r="CL195" s="606"/>
      <c r="CM195" s="606"/>
      <c r="CN195" s="606"/>
      <c r="CO195" s="606"/>
      <c r="CP195" s="606"/>
      <c r="CQ195" s="606"/>
      <c r="CR195" s="606"/>
      <c r="CS195" s="606"/>
      <c r="CT195" s="606"/>
      <c r="CU195" s="606"/>
      <c r="CV195" s="606"/>
      <c r="CW195" s="606"/>
      <c r="CX195" s="606"/>
      <c r="CY195" s="606"/>
      <c r="CZ195" s="606"/>
      <c r="DA195" s="606"/>
      <c r="DB195" s="606"/>
      <c r="DC195" s="606"/>
      <c r="DD195" s="606"/>
      <c r="DE195" s="606"/>
      <c r="DF195" s="606"/>
      <c r="DG195" s="606"/>
      <c r="DH195" s="606"/>
      <c r="DI195" s="606"/>
      <c r="DJ195" s="606"/>
      <c r="DK195" s="606"/>
      <c r="DL195" s="606"/>
      <c r="DM195" s="606"/>
      <c r="DN195" s="606"/>
      <c r="DO195" s="606"/>
      <c r="DP195" s="606"/>
      <c r="DQ195" s="606"/>
      <c r="DR195" s="606"/>
      <c r="DS195" s="606"/>
      <c r="DT195" s="606"/>
      <c r="DU195" s="606"/>
      <c r="DV195" s="606"/>
      <c r="DW195" s="606"/>
      <c r="DX195" s="606"/>
    </row>
    <row r="196" spans="1:132" ht="15.75" customHeight="1" x14ac:dyDescent="0.25">
      <c r="A196" s="1"/>
      <c r="B196" s="99"/>
      <c r="C196" s="61" t="s">
        <v>200</v>
      </c>
      <c r="D196" s="109"/>
      <c r="E196" s="89"/>
      <c r="F196" s="89"/>
      <c r="G196" s="17"/>
      <c r="H196" s="90"/>
      <c r="I196" s="513"/>
      <c r="J196" s="6"/>
      <c r="K196" s="650"/>
      <c r="L196" s="376"/>
      <c r="M196" s="26"/>
      <c r="N196" s="56"/>
      <c r="O196" s="376" t="s">
        <v>250</v>
      </c>
      <c r="P196" s="56"/>
      <c r="Q196" s="485"/>
      <c r="R196" s="485"/>
      <c r="S196" s="376"/>
      <c r="T196" s="405"/>
      <c r="U196" s="405"/>
      <c r="V196" s="315"/>
      <c r="W196" s="1"/>
      <c r="X196" s="470"/>
      <c r="Y196" s="470"/>
      <c r="Z196" s="470"/>
      <c r="AA196" s="470"/>
      <c r="AB196" s="470"/>
      <c r="AC196" s="470"/>
      <c r="AD196" s="470"/>
      <c r="AE196" s="470"/>
      <c r="AF196" s="470"/>
      <c r="AG196" s="470"/>
      <c r="AH196" s="470"/>
      <c r="AI196" s="470"/>
      <c r="AJ196" s="470"/>
      <c r="AK196" s="470"/>
      <c r="AL196" s="470"/>
      <c r="AM196" s="470"/>
      <c r="AN196" s="470"/>
      <c r="AO196" s="470"/>
      <c r="AP196" s="470"/>
      <c r="AQ196" s="470"/>
      <c r="AR196" s="470"/>
      <c r="AS196" s="470"/>
      <c r="AT196" s="470"/>
      <c r="AU196" s="470"/>
      <c r="AV196" s="470"/>
      <c r="AW196" s="470"/>
      <c r="AX196" s="470"/>
      <c r="AY196" s="470"/>
      <c r="AZ196" s="470"/>
      <c r="BA196" s="470"/>
      <c r="BB196" s="470"/>
      <c r="BC196" s="470"/>
      <c r="BD196" s="470"/>
      <c r="BE196" s="470"/>
      <c r="BF196" s="470"/>
      <c r="BG196" s="470"/>
      <c r="BH196" s="470"/>
      <c r="BI196" s="470"/>
      <c r="BJ196" s="470"/>
      <c r="BK196" s="800"/>
      <c r="BL196" s="857"/>
      <c r="BM196" s="857"/>
      <c r="BN196" s="865"/>
      <c r="BO196" s="865"/>
      <c r="BP196" s="865"/>
      <c r="BQ196" s="865"/>
      <c r="BR196" s="865"/>
      <c r="BS196" s="865"/>
      <c r="BT196" s="865"/>
      <c r="BU196" s="865"/>
      <c r="BV196" s="865"/>
      <c r="BW196" s="865"/>
      <c r="BX196" s="865"/>
      <c r="BY196" s="865"/>
      <c r="BZ196" s="865"/>
      <c r="CA196" s="865"/>
      <c r="CB196" s="865"/>
      <c r="CC196" s="865"/>
      <c r="CD196" s="865"/>
      <c r="CE196" s="606"/>
      <c r="CF196" s="606"/>
      <c r="CG196" s="606"/>
      <c r="CH196" s="606"/>
      <c r="CI196" s="606"/>
      <c r="CJ196" s="606"/>
      <c r="CK196" s="606"/>
      <c r="CL196" s="606"/>
      <c r="CM196" s="606"/>
      <c r="CN196" s="606"/>
      <c r="CO196" s="606"/>
      <c r="CP196" s="606"/>
      <c r="CQ196" s="606"/>
      <c r="CR196" s="606"/>
      <c r="CS196" s="606"/>
      <c r="CT196" s="606"/>
      <c r="CU196" s="606"/>
      <c r="CV196" s="606"/>
      <c r="CW196" s="606"/>
      <c r="CX196" s="606"/>
      <c r="CY196" s="606"/>
      <c r="CZ196" s="606"/>
      <c r="DA196" s="606"/>
      <c r="DB196" s="606"/>
      <c r="DC196" s="606"/>
      <c r="DD196" s="606"/>
      <c r="DE196" s="606"/>
      <c r="DF196" s="606"/>
      <c r="DG196" s="606"/>
      <c r="DH196" s="606"/>
      <c r="DI196" s="606"/>
      <c r="DJ196" s="606"/>
      <c r="DK196" s="606"/>
      <c r="DL196" s="606"/>
      <c r="DM196" s="606"/>
      <c r="DN196" s="606"/>
      <c r="DO196" s="606"/>
      <c r="DP196" s="606"/>
      <c r="DQ196" s="606"/>
      <c r="DR196" s="606"/>
      <c r="DS196" s="606"/>
      <c r="DT196" s="606"/>
      <c r="DU196" s="606"/>
      <c r="DV196" s="606"/>
      <c r="DW196" s="606"/>
      <c r="DX196" s="606"/>
    </row>
    <row r="197" spans="1:132" ht="15.75" customHeight="1" x14ac:dyDescent="0.3">
      <c r="A197" s="1"/>
      <c r="B197" s="15"/>
      <c r="C197" s="52" t="s">
        <v>204</v>
      </c>
      <c r="D197" s="109"/>
      <c r="E197" s="17"/>
      <c r="F197" s="17"/>
      <c r="G197" s="17"/>
      <c r="H197" s="87"/>
      <c r="I197" s="53"/>
      <c r="J197" s="6"/>
      <c r="K197" s="650"/>
      <c r="L197" s="376"/>
      <c r="M197" s="26"/>
      <c r="N197" s="56"/>
      <c r="O197" s="26" t="s">
        <v>252</v>
      </c>
      <c r="P197" s="56"/>
      <c r="Q197" s="485"/>
      <c r="R197" s="485"/>
      <c r="S197" s="376"/>
      <c r="T197" s="405"/>
      <c r="U197" s="405"/>
      <c r="V197" s="315"/>
      <c r="W197" s="1"/>
      <c r="X197" s="470"/>
      <c r="Y197" s="470"/>
      <c r="Z197" s="470"/>
      <c r="AA197" s="470"/>
      <c r="AB197" s="470"/>
      <c r="AC197" s="470"/>
      <c r="AD197" s="470"/>
      <c r="AE197" s="470"/>
      <c r="AF197" s="470"/>
      <c r="AG197" s="470"/>
      <c r="AH197" s="470"/>
      <c r="AI197" s="470"/>
      <c r="AJ197" s="470"/>
      <c r="AK197" s="470"/>
      <c r="AL197" s="470"/>
      <c r="AM197" s="470"/>
      <c r="AN197" s="470"/>
      <c r="AO197" s="470"/>
      <c r="AP197" s="470"/>
      <c r="AQ197" s="470"/>
      <c r="AR197" s="470"/>
      <c r="AS197" s="470"/>
      <c r="AT197" s="470"/>
      <c r="AU197" s="470"/>
      <c r="AV197" s="470"/>
      <c r="AW197" s="470"/>
      <c r="AX197" s="470"/>
      <c r="AY197" s="470"/>
      <c r="AZ197" s="470"/>
      <c r="BA197" s="470"/>
      <c r="BB197" s="470"/>
      <c r="BC197" s="470"/>
      <c r="BD197" s="470"/>
      <c r="BE197" s="470"/>
      <c r="BF197" s="470"/>
      <c r="BG197" s="470"/>
      <c r="BH197" s="470"/>
      <c r="BI197" s="470"/>
      <c r="BJ197" s="470"/>
      <c r="BK197" s="800"/>
      <c r="BL197" s="857"/>
      <c r="BM197" s="857"/>
      <c r="BN197" s="865"/>
      <c r="BO197" s="865"/>
      <c r="BP197" s="865"/>
      <c r="BQ197" s="865"/>
      <c r="BR197" s="865"/>
      <c r="BS197" s="865"/>
      <c r="BT197" s="865"/>
      <c r="BU197" s="865"/>
      <c r="BV197" s="865"/>
      <c r="BW197" s="865"/>
      <c r="BX197" s="865"/>
      <c r="BY197" s="865"/>
      <c r="BZ197" s="865"/>
      <c r="CA197" s="865"/>
      <c r="CB197" s="865"/>
      <c r="CC197" s="865"/>
      <c r="CD197" s="865"/>
      <c r="CE197" s="606"/>
      <c r="CF197" s="606"/>
      <c r="CG197" s="606"/>
      <c r="CH197" s="606"/>
      <c r="CI197" s="606"/>
      <c r="CJ197" s="606"/>
      <c r="CK197" s="606"/>
      <c r="CL197" s="606"/>
      <c r="CM197" s="606"/>
      <c r="CN197" s="606"/>
      <c r="CO197" s="606"/>
      <c r="CP197" s="606"/>
      <c r="CQ197" s="606"/>
      <c r="CR197" s="606"/>
      <c r="CS197" s="606"/>
      <c r="CT197" s="606"/>
      <c r="CU197" s="606"/>
      <c r="CV197" s="606"/>
      <c r="CW197" s="606"/>
      <c r="CX197" s="606"/>
      <c r="CY197" s="606"/>
      <c r="CZ197" s="606"/>
      <c r="DA197" s="606"/>
      <c r="DB197" s="606"/>
      <c r="DC197" s="606"/>
      <c r="DD197" s="606"/>
      <c r="DE197" s="606"/>
      <c r="DF197" s="606"/>
      <c r="DG197" s="606"/>
      <c r="DH197" s="606"/>
      <c r="DI197" s="606"/>
      <c r="DJ197" s="606"/>
      <c r="DK197" s="606"/>
      <c r="DL197" s="606"/>
      <c r="DM197" s="606"/>
      <c r="DN197" s="606"/>
      <c r="DO197" s="606"/>
      <c r="DP197" s="606"/>
      <c r="DQ197" s="606"/>
      <c r="DR197" s="606"/>
      <c r="DS197" s="606"/>
      <c r="DT197" s="606"/>
      <c r="DU197" s="606"/>
      <c r="DV197" s="606"/>
      <c r="DW197" s="606"/>
      <c r="DX197" s="606"/>
    </row>
    <row r="198" spans="1:132" ht="15.75" customHeight="1" x14ac:dyDescent="0.3">
      <c r="A198" s="1"/>
      <c r="B198" s="15"/>
      <c r="C198" s="52"/>
      <c r="D198" s="109"/>
      <c r="E198" s="17"/>
      <c r="F198" s="17"/>
      <c r="G198" s="17"/>
      <c r="H198" s="87"/>
      <c r="I198" s="18"/>
      <c r="J198" s="6"/>
      <c r="K198" s="650"/>
      <c r="L198" s="376"/>
      <c r="M198" s="26"/>
      <c r="N198" s="56"/>
      <c r="O198" s="26" t="s">
        <v>253</v>
      </c>
      <c r="P198" s="56"/>
      <c r="Q198" s="485"/>
      <c r="R198" s="485"/>
      <c r="S198" s="376"/>
      <c r="T198" s="405"/>
      <c r="U198" s="405"/>
      <c r="V198" s="315"/>
      <c r="W198" s="1"/>
      <c r="X198" s="470"/>
      <c r="Y198" s="470"/>
      <c r="Z198" s="470"/>
      <c r="AA198" s="470"/>
      <c r="AB198" s="470"/>
      <c r="AC198" s="470"/>
      <c r="AD198" s="470"/>
      <c r="AE198" s="470"/>
      <c r="AF198" s="470"/>
      <c r="AG198" s="470"/>
      <c r="AH198" s="470"/>
      <c r="AI198" s="470"/>
      <c r="AJ198" s="470"/>
      <c r="AK198" s="470"/>
      <c r="AL198" s="470"/>
      <c r="AM198" s="470"/>
      <c r="AN198" s="470"/>
      <c r="AO198" s="470"/>
      <c r="AP198" s="470"/>
      <c r="AQ198" s="470"/>
      <c r="AR198" s="470"/>
      <c r="AS198" s="470"/>
      <c r="AT198" s="470"/>
      <c r="AU198" s="470"/>
      <c r="AV198" s="470"/>
      <c r="AW198" s="470"/>
      <c r="AX198" s="470"/>
      <c r="AY198" s="470"/>
      <c r="AZ198" s="470"/>
      <c r="BA198" s="470"/>
      <c r="BB198" s="470"/>
      <c r="BC198" s="470"/>
      <c r="BD198" s="470"/>
      <c r="BE198" s="470"/>
      <c r="BF198" s="470"/>
      <c r="BG198" s="470"/>
      <c r="BH198" s="470"/>
      <c r="BI198" s="470"/>
      <c r="BJ198" s="470"/>
      <c r="BK198" s="800"/>
      <c r="BL198" s="857"/>
      <c r="BM198" s="857"/>
      <c r="BN198" s="865"/>
      <c r="BO198" s="947"/>
      <c r="BP198" s="865"/>
      <c r="BQ198" s="865"/>
      <c r="BR198" s="865"/>
      <c r="BS198" s="865"/>
      <c r="BT198" s="865"/>
      <c r="BU198" s="865"/>
      <c r="BV198" s="865"/>
      <c r="BW198" s="865"/>
      <c r="BX198" s="865"/>
      <c r="BY198" s="865"/>
      <c r="BZ198" s="865"/>
      <c r="CA198" s="865"/>
      <c r="CB198" s="865"/>
      <c r="CC198" s="865"/>
      <c r="CD198" s="865"/>
      <c r="CE198" s="606"/>
      <c r="CF198" s="606"/>
      <c r="CG198" s="606"/>
      <c r="CH198" s="606"/>
      <c r="CI198" s="606"/>
      <c r="CJ198" s="606"/>
      <c r="CK198" s="606"/>
      <c r="CL198" s="606"/>
      <c r="CM198" s="606"/>
      <c r="CN198" s="606"/>
      <c r="CO198" s="606"/>
      <c r="CP198" s="606"/>
      <c r="CQ198" s="606"/>
      <c r="CR198" s="606"/>
      <c r="CS198" s="606"/>
      <c r="CT198" s="606"/>
      <c r="CU198" s="606"/>
      <c r="CV198" s="606"/>
      <c r="CW198" s="606"/>
      <c r="CX198" s="606"/>
      <c r="CY198" s="606"/>
      <c r="CZ198" s="606"/>
      <c r="DA198" s="606"/>
      <c r="DB198" s="606"/>
      <c r="DC198" s="606"/>
      <c r="DD198" s="606"/>
      <c r="DE198" s="606"/>
      <c r="DF198" s="606"/>
      <c r="DG198" s="606"/>
      <c r="DH198" s="606"/>
      <c r="DI198" s="606"/>
      <c r="DJ198" s="606"/>
      <c r="DK198" s="606"/>
      <c r="DL198" s="606"/>
      <c r="DM198" s="606"/>
      <c r="DN198" s="606"/>
      <c r="DO198" s="606"/>
      <c r="DP198" s="606"/>
      <c r="DQ198" s="606"/>
      <c r="DR198" s="606"/>
      <c r="DS198" s="606"/>
      <c r="DT198" s="606"/>
      <c r="DU198" s="606"/>
      <c r="DV198" s="606"/>
      <c r="DW198" s="606"/>
      <c r="DX198" s="606"/>
    </row>
    <row r="199" spans="1:132" ht="15.75" customHeight="1" x14ac:dyDescent="0.3">
      <c r="A199" s="1"/>
      <c r="B199" s="15"/>
      <c r="C199" s="90" t="s">
        <v>114</v>
      </c>
      <c r="D199" s="109"/>
      <c r="E199" s="17"/>
      <c r="F199" s="17"/>
      <c r="G199" s="17"/>
      <c r="H199" s="87"/>
      <c r="I199" s="18"/>
      <c r="J199" s="6"/>
      <c r="K199" s="650"/>
      <c r="L199" s="376"/>
      <c r="M199" s="26"/>
      <c r="N199" s="56"/>
      <c r="O199" s="26" t="s">
        <v>254</v>
      </c>
      <c r="P199" s="56"/>
      <c r="Q199" s="485"/>
      <c r="R199" s="485"/>
      <c r="S199" s="376"/>
      <c r="T199" s="405"/>
      <c r="U199" s="405"/>
      <c r="V199" s="315"/>
      <c r="W199" s="1"/>
      <c r="X199" s="470"/>
      <c r="Y199" s="470"/>
      <c r="Z199" s="470"/>
      <c r="AA199" s="470"/>
      <c r="AB199" s="470"/>
      <c r="AC199" s="470"/>
      <c r="AD199" s="470"/>
      <c r="AE199" s="470"/>
      <c r="AF199" s="470"/>
      <c r="AG199" s="470"/>
      <c r="AH199" s="470"/>
      <c r="AI199" s="470"/>
      <c r="AJ199" s="470"/>
      <c r="AK199" s="470"/>
      <c r="AL199" s="470"/>
      <c r="AM199" s="470"/>
      <c r="AN199" s="470"/>
      <c r="AO199" s="470"/>
      <c r="AP199" s="470"/>
      <c r="AQ199" s="470"/>
      <c r="AR199" s="470"/>
      <c r="AS199" s="470"/>
      <c r="AT199" s="470"/>
      <c r="AU199" s="470"/>
      <c r="AV199" s="470"/>
      <c r="AW199" s="470"/>
      <c r="AX199" s="470"/>
      <c r="AY199" s="470"/>
      <c r="AZ199" s="470"/>
      <c r="BA199" s="470"/>
      <c r="BB199" s="470"/>
      <c r="BC199" s="470"/>
      <c r="BD199" s="470"/>
      <c r="BE199" s="470"/>
      <c r="BF199" s="470"/>
      <c r="BG199" s="470"/>
      <c r="BH199" s="470"/>
      <c r="BI199" s="470"/>
      <c r="BJ199" s="470"/>
      <c r="BK199" s="800"/>
      <c r="BL199" s="857"/>
      <c r="BM199" s="857"/>
      <c r="BN199" s="865"/>
      <c r="BO199" s="947"/>
      <c r="BP199" s="865"/>
      <c r="BQ199" s="865"/>
      <c r="BR199" s="865"/>
      <c r="BS199" s="865"/>
      <c r="BT199" s="865"/>
      <c r="BU199" s="865"/>
      <c r="BV199" s="865"/>
      <c r="BW199" s="865"/>
      <c r="BX199" s="865"/>
      <c r="BY199" s="865"/>
      <c r="BZ199" s="865"/>
      <c r="CA199" s="865"/>
      <c r="CB199" s="865"/>
      <c r="CC199" s="865"/>
      <c r="CD199" s="865"/>
      <c r="CE199" s="606"/>
      <c r="CF199" s="606"/>
      <c r="CG199" s="606"/>
      <c r="CH199" s="606"/>
      <c r="CI199" s="606"/>
      <c r="CJ199" s="606"/>
      <c r="CK199" s="606"/>
      <c r="CL199" s="606"/>
      <c r="CM199" s="606"/>
      <c r="CN199" s="606"/>
      <c r="CO199" s="606"/>
      <c r="CP199" s="606"/>
      <c r="CQ199" s="606"/>
      <c r="CR199" s="606"/>
      <c r="CS199" s="606"/>
      <c r="CT199" s="606"/>
      <c r="CU199" s="606"/>
      <c r="CV199" s="606"/>
      <c r="CW199" s="606"/>
      <c r="CX199" s="606"/>
      <c r="CY199" s="606"/>
      <c r="CZ199" s="606"/>
      <c r="DA199" s="606"/>
      <c r="DB199" s="606"/>
      <c r="DC199" s="606"/>
      <c r="DD199" s="606"/>
      <c r="DE199" s="606"/>
      <c r="DF199" s="606"/>
      <c r="DG199" s="606"/>
      <c r="DH199" s="606"/>
      <c r="DI199" s="606"/>
      <c r="DJ199" s="606"/>
      <c r="DK199" s="606"/>
      <c r="DL199" s="606"/>
      <c r="DM199" s="606"/>
      <c r="DN199" s="606"/>
      <c r="DO199" s="606"/>
      <c r="DP199" s="606"/>
      <c r="DQ199" s="606"/>
      <c r="DR199" s="606"/>
      <c r="DS199" s="606"/>
      <c r="DT199" s="606"/>
      <c r="DU199" s="606"/>
      <c r="DV199" s="606"/>
      <c r="DW199" s="606"/>
      <c r="DX199" s="606"/>
    </row>
    <row r="200" spans="1:132" ht="15.75" customHeight="1" x14ac:dyDescent="0.3">
      <c r="A200" s="1"/>
      <c r="B200" s="15"/>
      <c r="C200" s="90"/>
      <c r="D200" s="109"/>
      <c r="E200" s="17"/>
      <c r="F200" s="17"/>
      <c r="G200" s="17"/>
      <c r="H200" s="87"/>
      <c r="I200" s="18"/>
      <c r="J200" s="6"/>
      <c r="K200" s="650"/>
      <c r="L200" s="376"/>
      <c r="M200" s="26"/>
      <c r="N200" s="56"/>
      <c r="O200" s="26"/>
      <c r="P200" s="56"/>
      <c r="Q200" s="485"/>
      <c r="R200" s="485"/>
      <c r="S200" s="376"/>
      <c r="T200" s="405"/>
      <c r="U200" s="405"/>
      <c r="V200" s="315"/>
      <c r="W200" s="1"/>
      <c r="X200" s="470"/>
      <c r="Y200" s="470"/>
      <c r="Z200" s="470"/>
      <c r="AA200" s="470"/>
      <c r="AB200" s="470"/>
      <c r="AC200" s="470"/>
      <c r="AD200" s="470"/>
      <c r="AE200" s="470"/>
      <c r="AF200" s="470"/>
      <c r="AG200" s="470"/>
      <c r="AH200" s="470"/>
      <c r="AI200" s="470"/>
      <c r="AJ200" s="470"/>
      <c r="AK200" s="470"/>
      <c r="AL200" s="470"/>
      <c r="AM200" s="470"/>
      <c r="AN200" s="470"/>
      <c r="AO200" s="470"/>
      <c r="AP200" s="470"/>
      <c r="AQ200" s="470"/>
      <c r="AR200" s="470"/>
      <c r="AS200" s="470"/>
      <c r="AT200" s="470"/>
      <c r="AU200" s="470"/>
      <c r="AV200" s="470"/>
      <c r="AW200" s="470"/>
      <c r="AX200" s="470"/>
      <c r="AY200" s="470"/>
      <c r="AZ200" s="470"/>
      <c r="BA200" s="470"/>
      <c r="BB200" s="470"/>
      <c r="BC200" s="470"/>
      <c r="BD200" s="470"/>
      <c r="BE200" s="470"/>
      <c r="BF200" s="470"/>
      <c r="BG200" s="470"/>
      <c r="BH200" s="470"/>
      <c r="BI200" s="470"/>
      <c r="BJ200" s="470"/>
      <c r="BK200" s="800"/>
      <c r="BL200" s="865"/>
      <c r="BM200" s="865"/>
      <c r="BN200" s="865"/>
      <c r="BO200" s="947"/>
      <c r="BP200" s="865"/>
      <c r="BQ200" s="865"/>
      <c r="BR200" s="865"/>
      <c r="BS200" s="865"/>
      <c r="BT200" s="865"/>
      <c r="BU200" s="865"/>
      <c r="BV200" s="865"/>
      <c r="BW200" s="865"/>
      <c r="BX200" s="865"/>
      <c r="BY200" s="865"/>
      <c r="BZ200" s="865"/>
      <c r="CA200" s="865"/>
      <c r="CB200" s="865"/>
      <c r="CC200" s="865"/>
      <c r="CD200" s="865"/>
      <c r="CE200" s="606"/>
      <c r="CF200" s="606"/>
      <c r="CG200" s="606"/>
      <c r="CH200" s="606"/>
      <c r="CI200" s="606"/>
      <c r="CJ200" s="606"/>
      <c r="CK200" s="606"/>
      <c r="CL200" s="606"/>
      <c r="CM200" s="606"/>
      <c r="CN200" s="606"/>
      <c r="CO200" s="606"/>
      <c r="CP200" s="606"/>
      <c r="CQ200" s="606"/>
      <c r="CR200" s="606"/>
      <c r="CS200" s="606"/>
      <c r="CT200" s="606"/>
      <c r="CU200" s="606"/>
      <c r="CV200" s="606"/>
      <c r="CW200" s="606"/>
      <c r="CX200" s="606"/>
      <c r="CY200" s="606"/>
      <c r="CZ200" s="606"/>
      <c r="DA200" s="606"/>
      <c r="DB200" s="606"/>
      <c r="DC200" s="606"/>
      <c r="DD200" s="606"/>
      <c r="DE200" s="606"/>
      <c r="DF200" s="606"/>
      <c r="DG200" s="606"/>
      <c r="DH200" s="606"/>
      <c r="DI200" s="606"/>
      <c r="DJ200" s="606"/>
      <c r="DK200" s="606"/>
      <c r="DL200" s="606"/>
      <c r="DM200" s="606"/>
      <c r="DN200" s="606"/>
      <c r="DO200" s="606"/>
      <c r="DP200" s="606"/>
      <c r="DQ200" s="606"/>
      <c r="DR200" s="606"/>
      <c r="DS200" s="606"/>
      <c r="DT200" s="606"/>
      <c r="DU200" s="606"/>
      <c r="DV200" s="606"/>
      <c r="DW200" s="606"/>
      <c r="DX200" s="606"/>
    </row>
    <row r="201" spans="1:132" ht="15.75" customHeight="1" thickBot="1" x14ac:dyDescent="0.35">
      <c r="A201" s="1"/>
      <c r="B201" s="15"/>
      <c r="C201" s="90" t="s">
        <v>115</v>
      </c>
      <c r="D201" s="109"/>
      <c r="E201" s="17"/>
      <c r="F201" s="17"/>
      <c r="G201" s="17"/>
      <c r="H201" s="87"/>
      <c r="I201" s="18"/>
      <c r="J201" s="6"/>
      <c r="K201" s="650"/>
      <c r="L201" s="376"/>
      <c r="M201" s="26"/>
      <c r="N201" s="645"/>
      <c r="O201" s="26" t="s">
        <v>413</v>
      </c>
      <c r="P201" s="486"/>
      <c r="Q201" s="486"/>
      <c r="R201" s="56"/>
      <c r="S201" s="297"/>
      <c r="T201" s="645"/>
      <c r="U201" s="486"/>
      <c r="V201" s="315"/>
      <c r="W201" s="1"/>
      <c r="X201" s="470"/>
      <c r="Y201" s="470"/>
      <c r="Z201" s="470"/>
      <c r="AA201" s="470"/>
      <c r="AB201" s="470"/>
      <c r="AC201" s="470"/>
      <c r="AD201" s="470"/>
      <c r="AE201" s="470"/>
      <c r="AF201" s="470"/>
      <c r="AG201" s="470"/>
      <c r="AH201" s="470"/>
      <c r="AI201" s="470"/>
      <c r="AJ201" s="470"/>
      <c r="AK201" s="470"/>
      <c r="AL201" s="470"/>
      <c r="AM201" s="470"/>
      <c r="AN201" s="470"/>
      <c r="AO201" s="470"/>
      <c r="AP201" s="470"/>
      <c r="AQ201" s="470"/>
      <c r="AR201" s="470"/>
      <c r="AS201" s="470"/>
      <c r="AT201" s="470"/>
      <c r="AU201" s="470"/>
      <c r="AV201" s="470"/>
      <c r="AW201" s="470"/>
      <c r="AX201" s="470"/>
      <c r="AY201" s="470"/>
      <c r="AZ201" s="470"/>
      <c r="BA201" s="470"/>
      <c r="BB201" s="470"/>
      <c r="BC201" s="470"/>
      <c r="BD201" s="470"/>
      <c r="BE201" s="470"/>
      <c r="BF201" s="470"/>
      <c r="BG201" s="470"/>
      <c r="BH201" s="470"/>
      <c r="BI201" s="470"/>
      <c r="BJ201" s="470"/>
      <c r="BK201" s="800"/>
      <c r="BL201" s="865"/>
      <c r="BM201" s="865"/>
      <c r="BN201" s="865"/>
      <c r="BO201" s="947"/>
      <c r="BP201" s="865"/>
      <c r="BQ201" s="865"/>
      <c r="BR201" s="865"/>
      <c r="BS201" s="865"/>
      <c r="BT201" s="865"/>
      <c r="BU201" s="865"/>
      <c r="BV201" s="865"/>
      <c r="BW201" s="865"/>
      <c r="BX201" s="865"/>
      <c r="BY201" s="865"/>
      <c r="BZ201" s="865"/>
      <c r="CA201" s="865"/>
      <c r="CB201" s="865"/>
      <c r="CC201" s="865"/>
      <c r="CD201" s="865"/>
      <c r="CE201" s="606"/>
      <c r="CF201" s="606"/>
      <c r="CG201" s="606"/>
      <c r="CH201" s="606"/>
      <c r="CI201" s="606"/>
      <c r="CJ201" s="606"/>
      <c r="CK201" s="606"/>
      <c r="CL201" s="606"/>
      <c r="CM201" s="606"/>
      <c r="CN201" s="606"/>
      <c r="CO201" s="606"/>
      <c r="CP201" s="606"/>
      <c r="CQ201" s="606"/>
      <c r="CR201" s="606"/>
      <c r="CS201" s="606"/>
      <c r="CT201" s="606"/>
      <c r="CU201" s="606"/>
      <c r="CV201" s="606"/>
      <c r="CW201" s="606"/>
      <c r="CX201" s="606"/>
      <c r="CY201" s="606"/>
      <c r="CZ201" s="606"/>
      <c r="DA201" s="606"/>
      <c r="DB201" s="606"/>
      <c r="DC201" s="606"/>
      <c r="DD201" s="606"/>
      <c r="DE201" s="606"/>
      <c r="DF201" s="606"/>
      <c r="DG201" s="606"/>
      <c r="DH201" s="606"/>
      <c r="DI201" s="606"/>
      <c r="DJ201" s="606"/>
      <c r="DK201" s="606"/>
      <c r="DL201" s="606"/>
      <c r="DM201" s="606"/>
      <c r="DN201" s="606"/>
      <c r="DO201" s="606"/>
      <c r="DP201" s="606"/>
      <c r="DQ201" s="606"/>
      <c r="DR201" s="606"/>
      <c r="DS201" s="606"/>
      <c r="DT201" s="606"/>
      <c r="DU201" s="606"/>
      <c r="DV201" s="606"/>
      <c r="DW201" s="606"/>
      <c r="DX201" s="606"/>
    </row>
    <row r="202" spans="1:132" ht="15.75" customHeight="1" thickBot="1" x14ac:dyDescent="0.35">
      <c r="A202" s="1"/>
      <c r="B202" s="15"/>
      <c r="C202" s="514"/>
      <c r="D202" s="17"/>
      <c r="E202" s="17"/>
      <c r="F202" s="17"/>
      <c r="G202" s="17"/>
      <c r="H202" s="87"/>
      <c r="I202" s="18"/>
      <c r="J202" s="6"/>
      <c r="K202" s="650"/>
      <c r="L202" s="376"/>
      <c r="M202" s="26"/>
      <c r="N202" s="645"/>
      <c r="O202" s="26" t="s">
        <v>414</v>
      </c>
      <c r="P202" s="333"/>
      <c r="Q202" s="333"/>
      <c r="R202" s="735"/>
      <c r="S202" s="735"/>
      <c r="T202" s="300" t="s">
        <v>55</v>
      </c>
      <c r="U202" s="505" t="s">
        <v>64</v>
      </c>
      <c r="V202" s="315"/>
      <c r="W202" s="1"/>
      <c r="X202" s="470"/>
      <c r="Y202" s="470"/>
      <c r="Z202" s="470"/>
      <c r="AA202" s="470"/>
      <c r="AB202" s="470"/>
      <c r="AC202" s="470"/>
      <c r="AD202" s="470"/>
      <c r="AE202" s="470"/>
      <c r="AF202" s="470"/>
      <c r="AG202" s="470"/>
      <c r="AH202" s="470"/>
      <c r="AI202" s="470"/>
      <c r="AJ202" s="470"/>
      <c r="AK202" s="470"/>
      <c r="AL202" s="470"/>
      <c r="AM202" s="470"/>
      <c r="AN202" s="470"/>
      <c r="AO202" s="470"/>
      <c r="AP202" s="470"/>
      <c r="AQ202" s="470"/>
      <c r="AR202" s="470"/>
      <c r="AS202" s="470"/>
      <c r="AT202" s="470"/>
      <c r="AU202" s="470"/>
      <c r="AV202" s="470"/>
      <c r="AW202" s="470"/>
      <c r="AX202" s="470"/>
      <c r="AY202" s="470"/>
      <c r="AZ202" s="470"/>
      <c r="BA202" s="470"/>
      <c r="BB202" s="470"/>
      <c r="BC202" s="470"/>
      <c r="BD202" s="470"/>
      <c r="BE202" s="470"/>
      <c r="BF202" s="470"/>
      <c r="BG202" s="470"/>
      <c r="BH202" s="470"/>
      <c r="BI202" s="470"/>
      <c r="BJ202" s="470"/>
      <c r="BK202" s="800"/>
      <c r="BL202" s="606"/>
      <c r="BM202" s="606"/>
      <c r="BN202" s="606"/>
      <c r="BO202" s="804"/>
      <c r="BP202" s="606"/>
      <c r="BQ202" s="606"/>
      <c r="BR202" s="606"/>
      <c r="BS202" s="606"/>
      <c r="BT202" s="606"/>
      <c r="BU202" s="606"/>
      <c r="BV202" s="606"/>
      <c r="BW202" s="606"/>
      <c r="BX202" s="606"/>
      <c r="BY202" s="606"/>
      <c r="BZ202" s="606"/>
      <c r="CA202" s="606"/>
      <c r="CB202" s="606"/>
      <c r="CC202" s="606"/>
      <c r="CD202" s="606"/>
      <c r="CE202" s="606"/>
      <c r="CF202" s="606"/>
      <c r="CG202" s="606"/>
      <c r="CH202" s="606"/>
      <c r="CI202" s="606"/>
      <c r="CJ202" s="606"/>
      <c r="CK202" s="606"/>
      <c r="CL202" s="606"/>
      <c r="CM202" s="606"/>
      <c r="CN202" s="606"/>
      <c r="CO202" s="606"/>
      <c r="CP202" s="606"/>
      <c r="CQ202" s="606"/>
      <c r="CR202" s="606"/>
      <c r="CS202" s="606"/>
      <c r="CT202" s="606"/>
      <c r="CU202" s="606"/>
      <c r="CV202" s="606"/>
      <c r="CW202" s="606"/>
      <c r="CX202" s="606"/>
      <c r="CY202" s="606"/>
      <c r="CZ202" s="606"/>
      <c r="DA202" s="606"/>
      <c r="DB202" s="606"/>
      <c r="DC202" s="606"/>
      <c r="DD202" s="606"/>
      <c r="DE202" s="606"/>
      <c r="DF202" s="606"/>
      <c r="DG202" s="606"/>
      <c r="DH202" s="606"/>
      <c r="DI202" s="606"/>
      <c r="DJ202" s="606"/>
      <c r="DK202" s="606"/>
      <c r="DL202" s="606"/>
      <c r="DM202" s="606"/>
      <c r="DN202" s="606"/>
      <c r="DO202" s="606"/>
      <c r="DP202" s="606"/>
      <c r="DQ202" s="606"/>
      <c r="DR202" s="606"/>
      <c r="DS202" s="606"/>
      <c r="DT202" s="606"/>
      <c r="DU202" s="606"/>
      <c r="DV202" s="606"/>
      <c r="DW202" s="606"/>
      <c r="DX202" s="606"/>
    </row>
    <row r="203" spans="1:132" ht="15.75" customHeight="1" x14ac:dyDescent="0.3">
      <c r="A203" s="1"/>
      <c r="B203" s="15"/>
      <c r="C203" s="514"/>
      <c r="D203" s="17"/>
      <c r="E203" s="17"/>
      <c r="F203" s="17"/>
      <c r="G203" s="17"/>
      <c r="H203" s="87"/>
      <c r="I203" s="18"/>
      <c r="J203" s="6"/>
      <c r="K203" s="650"/>
      <c r="L203" s="376"/>
      <c r="M203" s="26"/>
      <c r="N203" s="56"/>
      <c r="O203" s="56"/>
      <c r="P203" s="56"/>
      <c r="Q203" s="56"/>
      <c r="R203" s="56"/>
      <c r="S203" s="56"/>
      <c r="T203" s="26"/>
      <c r="U203" s="56"/>
      <c r="V203" s="315"/>
      <c r="W203" s="1"/>
      <c r="X203" s="470"/>
      <c r="Y203" s="470"/>
      <c r="Z203" s="470"/>
      <c r="AA203" s="470"/>
      <c r="AB203" s="470"/>
      <c r="AC203" s="470"/>
      <c r="AD203" s="470"/>
      <c r="AE203" s="470"/>
      <c r="AF203" s="470"/>
      <c r="AG203" s="470"/>
      <c r="AH203" s="470"/>
      <c r="AI203" s="470"/>
      <c r="AJ203" s="470"/>
      <c r="AK203" s="470"/>
      <c r="AL203" s="470"/>
      <c r="AM203" s="470"/>
      <c r="AN203" s="470"/>
      <c r="AO203" s="470"/>
      <c r="AP203" s="470"/>
      <c r="AQ203" s="470"/>
      <c r="AR203" s="470"/>
      <c r="AS203" s="470"/>
      <c r="AT203" s="470"/>
      <c r="AU203" s="470"/>
      <c r="AV203" s="470"/>
      <c r="AW203" s="470"/>
      <c r="AX203" s="470"/>
      <c r="AY203" s="470"/>
      <c r="AZ203" s="470"/>
      <c r="BA203" s="470"/>
      <c r="BB203" s="470"/>
      <c r="BC203" s="470"/>
      <c r="BD203" s="470"/>
      <c r="BE203" s="470"/>
      <c r="BF203" s="470"/>
      <c r="BG203" s="470"/>
      <c r="BH203" s="470"/>
      <c r="BI203" s="470"/>
      <c r="BJ203" s="470"/>
      <c r="BK203" s="800"/>
      <c r="BL203" s="606"/>
      <c r="BM203" s="606"/>
      <c r="BN203" s="606"/>
      <c r="BO203" s="804"/>
      <c r="BP203" s="606"/>
      <c r="BQ203" s="606"/>
      <c r="BR203" s="606"/>
      <c r="BS203" s="606"/>
      <c r="BT203" s="606"/>
      <c r="BU203" s="606"/>
      <c r="BV203" s="606"/>
      <c r="BW203" s="606"/>
      <c r="BX203" s="606"/>
      <c r="BY203" s="606"/>
      <c r="BZ203" s="606"/>
      <c r="CA203" s="606"/>
      <c r="CB203" s="606"/>
      <c r="CC203" s="606"/>
      <c r="CD203" s="606"/>
      <c r="CE203" s="606"/>
      <c r="CF203" s="606"/>
      <c r="CG203" s="606"/>
      <c r="CH203" s="606"/>
      <c r="CI203" s="606"/>
      <c r="CJ203" s="606"/>
      <c r="CK203" s="606"/>
      <c r="CL203" s="606"/>
      <c r="CM203" s="606"/>
      <c r="CN203" s="606"/>
      <c r="CO203" s="606"/>
      <c r="CP203" s="606"/>
      <c r="CQ203" s="606"/>
      <c r="CR203" s="606"/>
      <c r="CS203" s="606"/>
      <c r="CT203" s="606"/>
      <c r="CU203" s="606"/>
      <c r="CV203" s="606"/>
      <c r="CW203" s="606"/>
      <c r="CX203" s="606"/>
      <c r="CY203" s="606"/>
      <c r="CZ203" s="606"/>
      <c r="DA203" s="606"/>
      <c r="DB203" s="606"/>
      <c r="DC203" s="606"/>
      <c r="DD203" s="606"/>
      <c r="DE203" s="606"/>
      <c r="DF203" s="606"/>
      <c r="DG203" s="606"/>
      <c r="DH203" s="606"/>
      <c r="DI203" s="606"/>
      <c r="DJ203" s="606"/>
      <c r="DK203" s="606"/>
      <c r="DL203" s="606"/>
      <c r="DM203" s="606"/>
      <c r="DN203" s="606"/>
      <c r="DO203" s="606"/>
      <c r="DP203" s="606"/>
      <c r="DQ203" s="606"/>
      <c r="DR203" s="606"/>
      <c r="DS203" s="606"/>
      <c r="DT203" s="606"/>
      <c r="DU203" s="606"/>
      <c r="DV203" s="606"/>
      <c r="DW203" s="606"/>
      <c r="DX203" s="606"/>
    </row>
    <row r="204" spans="1:132" ht="15.75" customHeight="1" thickBot="1" x14ac:dyDescent="0.35">
      <c r="A204" s="1"/>
      <c r="B204" s="45"/>
      <c r="C204" s="679"/>
      <c r="D204" s="85"/>
      <c r="E204" s="85"/>
      <c r="F204" s="85"/>
      <c r="G204" s="523"/>
      <c r="H204" s="102"/>
      <c r="I204" s="86"/>
      <c r="J204" s="6"/>
      <c r="K204" s="659"/>
      <c r="L204" s="389"/>
      <c r="M204" s="335"/>
      <c r="N204" s="334"/>
      <c r="O204" s="103"/>
      <c r="P204" s="334"/>
      <c r="Q204" s="340"/>
      <c r="R204" s="340"/>
      <c r="S204" s="389"/>
      <c r="T204" s="411"/>
      <c r="U204" s="411"/>
      <c r="V204" s="337"/>
      <c r="W204" s="1"/>
      <c r="X204" s="470"/>
      <c r="Y204" s="470"/>
      <c r="Z204" s="470"/>
      <c r="AA204" s="470"/>
      <c r="AB204" s="470"/>
      <c r="AC204" s="470"/>
      <c r="AD204" s="470"/>
      <c r="AE204" s="470"/>
      <c r="AF204" s="470"/>
      <c r="AG204" s="470"/>
      <c r="AH204" s="470"/>
      <c r="AI204" s="470"/>
      <c r="AJ204" s="470"/>
      <c r="AK204" s="470"/>
      <c r="AL204" s="470"/>
      <c r="AM204" s="470"/>
      <c r="AN204" s="470"/>
      <c r="AO204" s="470"/>
      <c r="AP204" s="470"/>
      <c r="AQ204" s="470"/>
      <c r="AR204" s="470"/>
      <c r="AS204" s="470"/>
      <c r="AT204" s="470"/>
      <c r="AU204" s="470"/>
      <c r="AV204" s="470"/>
      <c r="AW204" s="470"/>
      <c r="AX204" s="470"/>
      <c r="AY204" s="470"/>
      <c r="AZ204" s="470"/>
      <c r="BA204" s="470"/>
      <c r="BB204" s="470"/>
      <c r="BC204" s="470"/>
      <c r="BD204" s="470"/>
      <c r="BE204" s="470"/>
      <c r="BF204" s="470"/>
      <c r="BG204" s="470"/>
      <c r="BH204" s="470"/>
      <c r="BI204" s="470"/>
      <c r="BJ204" s="470"/>
      <c r="BK204" s="800"/>
      <c r="BL204" s="606"/>
      <c r="BM204" s="606"/>
      <c r="BN204" s="606"/>
      <c r="BO204" s="804"/>
      <c r="BP204" s="606"/>
      <c r="BQ204" s="606"/>
      <c r="BR204" s="606"/>
      <c r="BS204" s="606"/>
      <c r="BT204" s="606"/>
      <c r="BU204" s="606"/>
      <c r="BV204" s="606"/>
      <c r="BW204" s="606"/>
      <c r="BX204" s="606"/>
      <c r="BY204" s="606"/>
      <c r="BZ204" s="606"/>
      <c r="CA204" s="606"/>
      <c r="CB204" s="606"/>
      <c r="CC204" s="606"/>
      <c r="CD204" s="606"/>
      <c r="CE204" s="606"/>
      <c r="CF204" s="606"/>
      <c r="CG204" s="606"/>
      <c r="CH204" s="606"/>
      <c r="CI204" s="606"/>
      <c r="CJ204" s="606"/>
      <c r="CK204" s="606"/>
      <c r="CL204" s="606"/>
      <c r="CM204" s="606"/>
      <c r="CN204" s="606"/>
      <c r="CO204" s="606"/>
      <c r="CP204" s="606"/>
      <c r="CQ204" s="606"/>
      <c r="CR204" s="606"/>
      <c r="CS204" s="606"/>
      <c r="CT204" s="606"/>
      <c r="CU204" s="606"/>
      <c r="CV204" s="606"/>
      <c r="CW204" s="606"/>
      <c r="CX204" s="606"/>
      <c r="CY204" s="606"/>
      <c r="CZ204" s="606"/>
      <c r="DA204" s="606"/>
      <c r="DB204" s="606"/>
      <c r="DC204" s="606"/>
      <c r="DD204" s="606"/>
      <c r="DE204" s="606"/>
      <c r="DF204" s="606"/>
      <c r="DG204" s="606"/>
      <c r="DH204" s="606"/>
      <c r="DI204" s="606"/>
      <c r="DJ204" s="606"/>
      <c r="DK204" s="606"/>
      <c r="DL204" s="606"/>
      <c r="DM204" s="606"/>
      <c r="DN204" s="606"/>
      <c r="DO204" s="606"/>
      <c r="DP204" s="606"/>
      <c r="DQ204" s="606"/>
      <c r="DR204" s="606"/>
      <c r="DS204" s="606"/>
      <c r="DT204" s="606"/>
      <c r="DU204" s="606"/>
      <c r="DV204" s="606"/>
      <c r="DW204" s="606"/>
      <c r="DX204" s="606"/>
    </row>
    <row r="205" spans="1:132" ht="15.75" customHeight="1" thickBot="1" x14ac:dyDescent="0.3">
      <c r="A205" s="1"/>
      <c r="B205" s="6"/>
      <c r="C205" s="623"/>
      <c r="D205" s="6"/>
      <c r="E205" s="6"/>
      <c r="F205" s="6"/>
      <c r="G205" s="14"/>
      <c r="H205" s="14"/>
      <c r="I205" s="6"/>
      <c r="J205" s="6"/>
      <c r="K205" s="34"/>
      <c r="L205" s="622"/>
      <c r="M205" s="2"/>
      <c r="N205" s="1"/>
      <c r="O205" s="1"/>
      <c r="P205" s="1"/>
      <c r="Q205" s="1"/>
      <c r="R205" s="1"/>
      <c r="S205" s="2"/>
      <c r="T205" s="1"/>
      <c r="U205" s="1"/>
      <c r="V205" s="1"/>
      <c r="W205" s="1"/>
      <c r="X205" s="470"/>
      <c r="Y205" s="470"/>
      <c r="Z205" s="470"/>
      <c r="AA205" s="470"/>
      <c r="AB205" s="470"/>
      <c r="AC205" s="470"/>
      <c r="AD205" s="470"/>
      <c r="AE205" s="470"/>
      <c r="AF205" s="470"/>
      <c r="AG205" s="470"/>
      <c r="AH205" s="470"/>
      <c r="AI205" s="470"/>
      <c r="AJ205" s="470"/>
      <c r="AK205" s="470"/>
      <c r="AL205" s="470"/>
      <c r="AM205" s="470"/>
      <c r="AN205" s="470"/>
      <c r="AO205" s="470"/>
      <c r="AP205" s="470"/>
      <c r="AQ205" s="470"/>
      <c r="AR205" s="470"/>
      <c r="AS205" s="470"/>
      <c r="AT205" s="470"/>
      <c r="AU205" s="470"/>
      <c r="AV205" s="470"/>
      <c r="AW205" s="470"/>
      <c r="AX205" s="470"/>
      <c r="AY205" s="470"/>
      <c r="AZ205" s="470"/>
      <c r="BA205" s="470"/>
      <c r="BB205" s="470"/>
      <c r="BC205" s="470"/>
      <c r="BD205" s="470"/>
      <c r="BE205" s="470"/>
      <c r="BF205" s="470"/>
      <c r="BG205" s="470"/>
      <c r="BH205" s="470"/>
      <c r="BI205" s="470"/>
      <c r="BJ205" s="470"/>
      <c r="BK205" s="800"/>
      <c r="BL205" s="606"/>
      <c r="BM205" s="606"/>
      <c r="BN205" s="606"/>
      <c r="BO205" s="804"/>
      <c r="BP205" s="606"/>
      <c r="BQ205" s="606"/>
      <c r="BR205" s="606"/>
      <c r="BS205" s="606"/>
      <c r="BT205" s="606"/>
      <c r="BU205" s="606"/>
      <c r="BV205" s="606"/>
      <c r="BW205" s="606"/>
      <c r="BX205" s="606"/>
      <c r="BY205" s="606"/>
      <c r="BZ205" s="606"/>
      <c r="CA205" s="606"/>
      <c r="CB205" s="606"/>
      <c r="CC205" s="606"/>
      <c r="CD205" s="606"/>
      <c r="CE205" s="606"/>
      <c r="CF205" s="606"/>
      <c r="CG205" s="606"/>
      <c r="CH205" s="606"/>
      <c r="CI205" s="606"/>
      <c r="CJ205" s="606"/>
      <c r="CK205" s="606"/>
      <c r="CL205" s="606"/>
      <c r="CM205" s="606"/>
      <c r="CN205" s="606"/>
      <c r="CO205" s="606"/>
      <c r="CP205" s="606"/>
      <c r="CQ205" s="606"/>
      <c r="CR205" s="606"/>
      <c r="CS205" s="606"/>
      <c r="CT205" s="606"/>
      <c r="CU205" s="606"/>
      <c r="CV205" s="606"/>
      <c r="CW205" s="606"/>
      <c r="CX205" s="606"/>
      <c r="CY205" s="606"/>
      <c r="CZ205" s="606"/>
      <c r="DA205" s="606"/>
      <c r="DB205" s="606"/>
      <c r="DC205" s="606"/>
      <c r="DD205" s="606"/>
      <c r="DE205" s="606"/>
      <c r="DF205" s="606"/>
      <c r="DG205" s="606"/>
      <c r="DH205" s="606"/>
      <c r="DI205" s="606"/>
      <c r="DJ205" s="606"/>
      <c r="DK205" s="606"/>
      <c r="DL205" s="606"/>
      <c r="DM205" s="606"/>
      <c r="DN205" s="606"/>
      <c r="DO205" s="606"/>
      <c r="DP205" s="606"/>
      <c r="DQ205" s="606"/>
      <c r="DR205" s="606"/>
      <c r="DS205" s="606"/>
      <c r="DT205" s="606"/>
      <c r="DU205" s="606"/>
      <c r="DV205" s="606"/>
      <c r="DW205" s="606"/>
      <c r="DX205" s="606"/>
    </row>
    <row r="206" spans="1:132" ht="15.75" customHeight="1" x14ac:dyDescent="0.25">
      <c r="A206" s="1"/>
      <c r="B206" s="9"/>
      <c r="C206" s="674"/>
      <c r="D206" s="11"/>
      <c r="E206" s="11"/>
      <c r="F206" s="11"/>
      <c r="G206" s="12"/>
      <c r="H206" s="12"/>
      <c r="I206" s="98"/>
      <c r="J206" s="6"/>
      <c r="K206" s="660"/>
      <c r="L206" s="624"/>
      <c r="M206" s="364"/>
      <c r="N206" s="365"/>
      <c r="O206" s="365"/>
      <c r="P206" s="365"/>
      <c r="Q206" s="365"/>
      <c r="R206" s="365"/>
      <c r="S206" s="364"/>
      <c r="T206" s="365"/>
      <c r="U206" s="365"/>
      <c r="V206" s="366"/>
      <c r="W206" s="1"/>
      <c r="X206" s="470"/>
      <c r="Y206" s="470"/>
      <c r="Z206" s="470"/>
      <c r="AA206" s="470"/>
      <c r="AB206" s="470"/>
      <c r="AC206" s="470"/>
      <c r="AD206" s="470"/>
      <c r="AE206" s="470"/>
      <c r="AF206" s="470"/>
      <c r="AG206" s="470"/>
      <c r="AH206" s="470"/>
      <c r="AI206" s="470"/>
      <c r="AJ206" s="470"/>
      <c r="AK206" s="470"/>
      <c r="AL206" s="470"/>
      <c r="AM206" s="470"/>
      <c r="AN206" s="470"/>
      <c r="AO206" s="470"/>
      <c r="AP206" s="470"/>
      <c r="AQ206" s="470"/>
      <c r="AR206" s="470"/>
      <c r="AS206" s="470"/>
      <c r="AT206" s="470"/>
      <c r="AU206" s="470"/>
      <c r="AV206" s="470"/>
      <c r="AW206" s="470"/>
      <c r="AX206" s="470"/>
      <c r="AY206" s="470"/>
      <c r="AZ206" s="470"/>
      <c r="BA206" s="470"/>
      <c r="BB206" s="470"/>
      <c r="BC206" s="470"/>
      <c r="BD206" s="470"/>
      <c r="BE206" s="470"/>
      <c r="BF206" s="470"/>
      <c r="BG206" s="470"/>
      <c r="BH206" s="470"/>
      <c r="BI206" s="470"/>
      <c r="BJ206" s="470"/>
      <c r="BK206" s="800"/>
      <c r="BL206" s="606"/>
      <c r="BM206" s="606"/>
      <c r="BN206" s="606"/>
      <c r="BO206" s="804"/>
      <c r="BP206" s="606"/>
      <c r="BQ206" s="606"/>
      <c r="BR206" s="606"/>
      <c r="BS206" s="606"/>
      <c r="BT206" s="606"/>
      <c r="BU206" s="606"/>
      <c r="BV206" s="606"/>
      <c r="BW206" s="606"/>
      <c r="BX206" s="606"/>
      <c r="BY206" s="606"/>
      <c r="BZ206" s="606"/>
      <c r="CA206" s="606"/>
      <c r="CB206" s="606"/>
      <c r="CC206" s="606"/>
      <c r="CD206" s="606"/>
      <c r="CE206" s="606"/>
      <c r="CF206" s="606"/>
      <c r="CG206" s="606"/>
      <c r="CH206" s="606"/>
      <c r="CI206" s="606"/>
      <c r="CJ206" s="606"/>
      <c r="CK206" s="606"/>
      <c r="CL206" s="606"/>
      <c r="CM206" s="606"/>
      <c r="CN206" s="606"/>
      <c r="CO206" s="606"/>
      <c r="CP206" s="606"/>
      <c r="CQ206" s="606"/>
      <c r="CR206" s="606"/>
      <c r="CS206" s="606"/>
      <c r="CT206" s="606"/>
      <c r="CU206" s="606"/>
      <c r="CV206" s="606"/>
      <c r="CW206" s="606"/>
      <c r="CX206" s="606"/>
      <c r="CY206" s="606"/>
      <c r="CZ206" s="606"/>
      <c r="DA206" s="606"/>
      <c r="DB206" s="606"/>
      <c r="DC206" s="606"/>
      <c r="DD206" s="606"/>
      <c r="DE206" s="606"/>
      <c r="DF206" s="606"/>
      <c r="DG206" s="606"/>
      <c r="DH206" s="606"/>
      <c r="DI206" s="606"/>
      <c r="DJ206" s="606"/>
      <c r="DK206" s="606"/>
      <c r="DL206" s="606"/>
      <c r="DM206" s="606"/>
      <c r="DN206" s="606"/>
      <c r="DO206" s="606"/>
      <c r="DP206" s="606"/>
      <c r="DQ206" s="606"/>
      <c r="DR206" s="606"/>
      <c r="DS206" s="606"/>
      <c r="DT206" s="606"/>
      <c r="DU206" s="606"/>
      <c r="DV206" s="606"/>
      <c r="DW206" s="606"/>
      <c r="DX206" s="606"/>
    </row>
    <row r="207" spans="1:132" ht="14.25" customHeight="1" x14ac:dyDescent="0.3">
      <c r="A207" s="1"/>
      <c r="B207" s="15"/>
      <c r="C207" s="974" t="s">
        <v>106</v>
      </c>
      <c r="D207" s="974"/>
      <c r="E207" s="87"/>
      <c r="F207" s="52"/>
      <c r="G207" s="17"/>
      <c r="H207" s="17"/>
      <c r="I207" s="18"/>
      <c r="J207" s="6"/>
      <c r="K207" s="650"/>
      <c r="L207" s="376"/>
      <c r="M207" s="386" t="s">
        <v>106</v>
      </c>
      <c r="N207" s="386"/>
      <c r="O207" s="26"/>
      <c r="P207" s="667" t="str">
        <f>IF($R$157="vala de infiltração",IF($U$46&gt;12000.001,"Esta unidade não suporta vazão de acima de 12000l/dia"," "),"  ")</f>
        <v xml:space="preserve">  </v>
      </c>
      <c r="Q207" s="56"/>
      <c r="R207" s="56"/>
      <c r="S207" s="26"/>
      <c r="T207" s="56"/>
      <c r="U207" s="56"/>
      <c r="V207" s="315"/>
      <c r="W207" s="1"/>
      <c r="X207" s="470"/>
      <c r="Y207" s="470"/>
      <c r="Z207" s="470"/>
      <c r="AA207" s="470"/>
      <c r="AB207" s="470"/>
      <c r="AC207" s="470"/>
      <c r="AD207" s="470"/>
      <c r="AE207" s="470"/>
      <c r="AF207" s="470"/>
      <c r="AG207" s="470"/>
      <c r="AH207" s="470"/>
      <c r="AI207" s="470"/>
      <c r="AJ207" s="470"/>
      <c r="AK207" s="470"/>
      <c r="AL207" s="470"/>
      <c r="AM207" s="470"/>
      <c r="AN207" s="470"/>
      <c r="AO207" s="470"/>
      <c r="AP207" s="470"/>
      <c r="AQ207" s="470"/>
      <c r="AR207" s="470"/>
      <c r="AS207" s="470"/>
      <c r="AT207" s="470"/>
      <c r="AU207" s="470"/>
      <c r="AV207" s="470"/>
      <c r="AW207" s="470"/>
      <c r="AX207" s="470"/>
      <c r="AY207" s="470"/>
      <c r="AZ207" s="470"/>
      <c r="BA207" s="470"/>
      <c r="BB207" s="470"/>
      <c r="BC207" s="470"/>
      <c r="BD207" s="470"/>
      <c r="BE207" s="470"/>
      <c r="BF207" s="470"/>
      <c r="BG207" s="470"/>
      <c r="BH207" s="470"/>
      <c r="BI207" s="470"/>
      <c r="BJ207" s="470"/>
      <c r="BK207" s="800"/>
      <c r="BL207" s="606"/>
      <c r="BM207" s="606"/>
      <c r="BN207" s="606"/>
      <c r="BO207" s="804"/>
      <c r="BP207" s="606"/>
      <c r="BQ207" s="606"/>
      <c r="BR207" s="606"/>
      <c r="BS207" s="606"/>
      <c r="BT207" s="606"/>
      <c r="BU207" s="606"/>
      <c r="BV207" s="606"/>
      <c r="BW207" s="606"/>
      <c r="BX207" s="606"/>
      <c r="BY207" s="606"/>
      <c r="BZ207" s="606"/>
      <c r="CA207" s="606"/>
      <c r="CB207" s="606"/>
      <c r="CC207" s="606"/>
      <c r="CD207" s="606"/>
      <c r="CE207" s="606"/>
      <c r="CF207" s="606"/>
      <c r="CG207" s="606"/>
      <c r="CH207" s="606"/>
      <c r="CI207" s="606"/>
      <c r="CJ207" s="606"/>
      <c r="CK207" s="606"/>
      <c r="CL207" s="606"/>
      <c r="CM207" s="606"/>
      <c r="CN207" s="606"/>
      <c r="CO207" s="606"/>
      <c r="CP207" s="606"/>
      <c r="CQ207" s="606"/>
      <c r="CR207" s="606"/>
      <c r="CS207" s="606"/>
      <c r="CT207" s="606"/>
      <c r="CU207" s="606"/>
      <c r="CV207" s="606"/>
      <c r="CW207" s="606"/>
      <c r="CX207" s="606"/>
      <c r="CY207" s="606"/>
      <c r="CZ207" s="606"/>
      <c r="DA207" s="606"/>
      <c r="DB207" s="606"/>
      <c r="DC207" s="606"/>
      <c r="DD207" s="606"/>
      <c r="DE207" s="606"/>
      <c r="DF207" s="606"/>
      <c r="DG207" s="606"/>
      <c r="DH207" s="606"/>
      <c r="DI207" s="606"/>
      <c r="DJ207" s="606"/>
      <c r="DK207" s="606"/>
      <c r="DL207" s="606"/>
      <c r="DM207" s="606"/>
      <c r="DN207" s="606"/>
      <c r="DO207" s="606"/>
      <c r="DP207" s="606"/>
      <c r="DQ207" s="606"/>
      <c r="DR207" s="606"/>
      <c r="DS207" s="606"/>
      <c r="DT207" s="606"/>
      <c r="DU207" s="606"/>
      <c r="DV207" s="606"/>
      <c r="DW207" s="606"/>
      <c r="DX207" s="606"/>
    </row>
    <row r="208" spans="1:132" s="416" customFormat="1" ht="15" customHeight="1" thickBot="1" x14ac:dyDescent="0.35">
      <c r="A208" s="417"/>
      <c r="B208" s="15"/>
      <c r="C208" s="514"/>
      <c r="D208" s="52"/>
      <c r="E208" s="52"/>
      <c r="F208" s="52"/>
      <c r="G208" s="17"/>
      <c r="H208" s="17"/>
      <c r="I208" s="18"/>
      <c r="J208" s="92"/>
      <c r="K208" s="650"/>
      <c r="L208" s="376"/>
      <c r="M208" s="386"/>
      <c r="N208" s="56"/>
      <c r="O208" s="56"/>
      <c r="P208" s="56"/>
      <c r="Q208" s="386"/>
      <c r="R208" s="56"/>
      <c r="S208" s="26"/>
      <c r="T208" s="56"/>
      <c r="U208" s="56"/>
      <c r="V208" s="315"/>
      <c r="W208" s="417"/>
      <c r="X208" s="532"/>
      <c r="Y208" s="532"/>
      <c r="Z208" s="532"/>
      <c r="AA208" s="532"/>
      <c r="AB208" s="532"/>
      <c r="AC208" s="532"/>
      <c r="AD208" s="532"/>
      <c r="AE208" s="532"/>
      <c r="AF208" s="532"/>
      <c r="AG208" s="532"/>
      <c r="AH208" s="532"/>
      <c r="AI208" s="532"/>
      <c r="AJ208" s="532"/>
      <c r="AK208" s="532"/>
      <c r="AL208" s="532"/>
      <c r="AM208" s="532"/>
      <c r="AN208" s="532"/>
      <c r="AO208" s="532"/>
      <c r="AP208" s="532"/>
      <c r="AQ208" s="532"/>
      <c r="AR208" s="532"/>
      <c r="AS208" s="532"/>
      <c r="AT208" s="532"/>
      <c r="AU208" s="532"/>
      <c r="AV208" s="532"/>
      <c r="AW208" s="532"/>
      <c r="AX208" s="532"/>
      <c r="AY208" s="532"/>
      <c r="AZ208" s="532"/>
      <c r="BA208" s="532"/>
      <c r="BB208" s="532"/>
      <c r="BC208" s="532"/>
      <c r="BD208" s="532"/>
      <c r="BE208" s="532"/>
      <c r="BF208" s="532"/>
      <c r="BG208" s="532"/>
      <c r="BH208" s="532"/>
      <c r="BI208" s="532"/>
      <c r="BJ208" s="532"/>
      <c r="BK208" s="800"/>
      <c r="BL208" s="606"/>
      <c r="BM208" s="606"/>
      <c r="BN208" s="606"/>
      <c r="BO208" s="803"/>
      <c r="BP208" s="606"/>
      <c r="BQ208" s="606"/>
      <c r="BR208" s="606"/>
      <c r="BS208" s="606"/>
      <c r="BT208" s="606"/>
      <c r="BU208" s="606"/>
      <c r="BV208" s="606"/>
      <c r="BW208" s="606"/>
      <c r="BX208" s="606"/>
      <c r="BY208" s="606"/>
      <c r="BZ208" s="606"/>
      <c r="CA208" s="606"/>
      <c r="CB208" s="606"/>
      <c r="CC208" s="606"/>
      <c r="CD208" s="606"/>
      <c r="CE208" s="606"/>
      <c r="CF208" s="606"/>
      <c r="CG208" s="606"/>
      <c r="CH208" s="606"/>
      <c r="CI208" s="606"/>
      <c r="CJ208" s="606"/>
      <c r="CK208" s="606"/>
      <c r="CL208" s="606"/>
      <c r="CM208" s="606"/>
      <c r="CN208" s="606"/>
      <c r="CO208" s="606"/>
      <c r="CP208" s="606"/>
      <c r="CQ208" s="606"/>
      <c r="CR208" s="606"/>
      <c r="CS208" s="606"/>
      <c r="CT208" s="606"/>
      <c r="CU208" s="606"/>
      <c r="CV208" s="606"/>
      <c r="CW208" s="606"/>
      <c r="CX208" s="606"/>
      <c r="CY208" s="606"/>
      <c r="CZ208" s="606"/>
      <c r="DA208" s="606"/>
      <c r="DB208" s="606"/>
      <c r="DC208" s="606"/>
      <c r="DD208" s="606"/>
      <c r="DE208" s="606"/>
      <c r="DF208" s="606"/>
      <c r="DG208" s="606"/>
      <c r="DH208" s="606"/>
      <c r="DI208" s="606"/>
      <c r="DJ208" s="606"/>
      <c r="DK208" s="606"/>
      <c r="DL208" s="606"/>
      <c r="DM208" s="606"/>
      <c r="DN208" s="606"/>
      <c r="DO208" s="606"/>
      <c r="DP208" s="606"/>
      <c r="DQ208" s="606"/>
      <c r="DR208" s="606"/>
      <c r="DS208" s="606"/>
      <c r="DT208" s="606"/>
      <c r="DU208" s="606"/>
      <c r="DV208" s="606"/>
      <c r="DW208" s="606"/>
      <c r="DX208" s="606"/>
      <c r="DY208" s="606"/>
      <c r="DZ208" s="606"/>
      <c r="EA208" s="606"/>
      <c r="EB208" s="606"/>
    </row>
    <row r="209" spans="1:132" s="416" customFormat="1" ht="15" customHeight="1" thickBot="1" x14ac:dyDescent="0.3">
      <c r="A209" s="417"/>
      <c r="B209" s="15"/>
      <c r="C209" s="681" t="s">
        <v>224</v>
      </c>
      <c r="D209" s="52" t="s">
        <v>201</v>
      </c>
      <c r="E209" s="535"/>
      <c r="F209" s="52"/>
      <c r="G209" s="17"/>
      <c r="H209" s="17"/>
      <c r="I209" s="18"/>
      <c r="J209" s="92"/>
      <c r="K209" s="651"/>
      <c r="L209" s="628" t="s">
        <v>399</v>
      </c>
      <c r="M209" s="444"/>
      <c r="N209" s="443"/>
      <c r="O209" s="443"/>
      <c r="P209" s="486"/>
      <c r="Q209" s="296"/>
      <c r="R209" s="296"/>
      <c r="S209" s="444" t="s">
        <v>397</v>
      </c>
      <c r="T209" s="296"/>
      <c r="U209" s="531">
        <f>U163</f>
        <v>800</v>
      </c>
      <c r="V209" s="424"/>
      <c r="W209" s="417"/>
      <c r="X209" s="532"/>
      <c r="Y209" s="532"/>
      <c r="Z209" s="532"/>
      <c r="AA209" s="532"/>
      <c r="AB209" s="532"/>
      <c r="AC209" s="532"/>
      <c r="AD209" s="532"/>
      <c r="AE209" s="532"/>
      <c r="AF209" s="532"/>
      <c r="AG209" s="532"/>
      <c r="AH209" s="532"/>
      <c r="AI209" s="532"/>
      <c r="AJ209" s="532"/>
      <c r="AK209" s="532"/>
      <c r="AL209" s="532"/>
      <c r="AM209" s="532"/>
      <c r="AN209" s="532"/>
      <c r="AO209" s="532"/>
      <c r="AP209" s="532"/>
      <c r="AQ209" s="532"/>
      <c r="AR209" s="532"/>
      <c r="AS209" s="532"/>
      <c r="AT209" s="532"/>
      <c r="AU209" s="532"/>
      <c r="AV209" s="532"/>
      <c r="AW209" s="532"/>
      <c r="AX209" s="532"/>
      <c r="AY209" s="532"/>
      <c r="AZ209" s="532"/>
      <c r="BA209" s="532"/>
      <c r="BB209" s="532"/>
      <c r="BC209" s="532"/>
      <c r="BD209" s="532"/>
      <c r="BE209" s="532"/>
      <c r="BF209" s="532"/>
      <c r="BG209" s="532"/>
      <c r="BH209" s="532"/>
      <c r="BI209" s="532"/>
      <c r="BJ209" s="532"/>
      <c r="BK209" s="800"/>
      <c r="BL209" s="606"/>
      <c r="BM209" s="606"/>
      <c r="BN209" s="606"/>
      <c r="BO209" s="804"/>
      <c r="BP209" s="606"/>
      <c r="BQ209" s="606"/>
      <c r="BR209" s="606"/>
      <c r="BS209" s="606"/>
      <c r="BT209" s="606"/>
      <c r="BU209" s="606"/>
      <c r="BV209" s="606"/>
      <c r="BW209" s="606"/>
      <c r="BX209" s="606"/>
      <c r="BY209" s="606"/>
      <c r="BZ209" s="606"/>
      <c r="CA209" s="606"/>
      <c r="CB209" s="606"/>
      <c r="CC209" s="606"/>
      <c r="CD209" s="606"/>
      <c r="CE209" s="606"/>
      <c r="CF209" s="606"/>
      <c r="CG209" s="606"/>
      <c r="CH209" s="606"/>
      <c r="CI209" s="606"/>
      <c r="CJ209" s="606"/>
      <c r="CK209" s="606"/>
      <c r="CL209" s="606"/>
      <c r="CM209" s="606"/>
      <c r="CN209" s="606"/>
      <c r="CO209" s="606"/>
      <c r="CP209" s="606"/>
      <c r="CQ209" s="606"/>
      <c r="CR209" s="606"/>
      <c r="CS209" s="606"/>
      <c r="CT209" s="606"/>
      <c r="CU209" s="606"/>
      <c r="CV209" s="606"/>
      <c r="CW209" s="606"/>
      <c r="CX209" s="606"/>
      <c r="CY209" s="606"/>
      <c r="CZ209" s="606"/>
      <c r="DA209" s="606"/>
      <c r="DB209" s="606"/>
      <c r="DC209" s="606"/>
      <c r="DD209" s="606"/>
      <c r="DE209" s="606"/>
      <c r="DF209" s="606"/>
      <c r="DG209" s="606"/>
      <c r="DH209" s="606"/>
      <c r="DI209" s="606"/>
      <c r="DJ209" s="606"/>
      <c r="DK209" s="606"/>
      <c r="DL209" s="606"/>
      <c r="DM209" s="606"/>
      <c r="DN209" s="606"/>
      <c r="DO209" s="606"/>
      <c r="DP209" s="606"/>
      <c r="DQ209" s="606"/>
      <c r="DR209" s="606"/>
      <c r="DS209" s="606"/>
      <c r="DT209" s="606"/>
      <c r="DU209" s="606"/>
      <c r="DV209" s="606"/>
      <c r="DW209" s="606"/>
      <c r="DX209" s="606"/>
      <c r="DY209" s="606"/>
      <c r="DZ209" s="606"/>
      <c r="EA209" s="606"/>
      <c r="EB209" s="606"/>
    </row>
    <row r="210" spans="1:132" s="416" customFormat="1" ht="15" customHeight="1" x14ac:dyDescent="0.25">
      <c r="A210" s="417"/>
      <c r="B210" s="15"/>
      <c r="C210" s="514"/>
      <c r="D210" s="52"/>
      <c r="E210" s="52"/>
      <c r="F210" s="52"/>
      <c r="G210" s="17"/>
      <c r="H210" s="17"/>
      <c r="I210" s="18"/>
      <c r="J210" s="92"/>
      <c r="K210" s="651"/>
      <c r="L210" s="296"/>
      <c r="M210" s="444"/>
      <c r="N210" s="444"/>
      <c r="O210" s="443"/>
      <c r="P210" s="443"/>
      <c r="Q210" s="296"/>
      <c r="R210" s="296"/>
      <c r="S210" s="444"/>
      <c r="T210" s="296"/>
      <c r="U210" s="533"/>
      <c r="V210" s="424"/>
      <c r="W210" s="417"/>
      <c r="X210" s="532"/>
      <c r="Y210" s="532"/>
      <c r="Z210" s="532"/>
      <c r="AA210" s="532"/>
      <c r="AB210" s="532"/>
      <c r="AC210" s="532"/>
      <c r="AD210" s="532"/>
      <c r="AE210" s="532"/>
      <c r="AF210" s="532"/>
      <c r="AG210" s="532"/>
      <c r="AH210" s="532"/>
      <c r="AI210" s="532"/>
      <c r="AJ210" s="532"/>
      <c r="AK210" s="532"/>
      <c r="AL210" s="532"/>
      <c r="AM210" s="532"/>
      <c r="AN210" s="532"/>
      <c r="AO210" s="532"/>
      <c r="AP210" s="532"/>
      <c r="AQ210" s="532"/>
      <c r="AR210" s="532"/>
      <c r="AS210" s="532"/>
      <c r="AT210" s="532"/>
      <c r="AU210" s="532"/>
      <c r="AV210" s="532"/>
      <c r="AW210" s="532"/>
      <c r="AX210" s="532"/>
      <c r="AY210" s="532"/>
      <c r="AZ210" s="532"/>
      <c r="BA210" s="532"/>
      <c r="BB210" s="532"/>
      <c r="BC210" s="532"/>
      <c r="BD210" s="532"/>
      <c r="BE210" s="532"/>
      <c r="BF210" s="532"/>
      <c r="BG210" s="532"/>
      <c r="BH210" s="532"/>
      <c r="BI210" s="532"/>
      <c r="BJ210" s="532"/>
      <c r="BK210" s="800"/>
      <c r="BL210" s="606"/>
      <c r="BM210" s="606"/>
      <c r="BN210" s="606"/>
      <c r="BO210" s="606"/>
      <c r="BP210" s="606"/>
      <c r="BQ210" s="606"/>
      <c r="BR210" s="606"/>
      <c r="BS210" s="606"/>
      <c r="BT210" s="606"/>
      <c r="BU210" s="606"/>
      <c r="BV210" s="606"/>
      <c r="BW210" s="606"/>
      <c r="BX210" s="606"/>
      <c r="BY210" s="606"/>
      <c r="BZ210" s="606"/>
      <c r="CA210" s="606"/>
      <c r="CB210" s="606"/>
      <c r="CC210" s="606"/>
      <c r="CD210" s="606"/>
      <c r="CE210" s="606"/>
      <c r="CF210" s="606"/>
      <c r="CG210" s="606"/>
      <c r="CH210" s="606"/>
      <c r="CI210" s="606"/>
      <c r="CJ210" s="606"/>
      <c r="CK210" s="606"/>
      <c r="CL210" s="606"/>
      <c r="CM210" s="606"/>
      <c r="CN210" s="606"/>
      <c r="CO210" s="606"/>
      <c r="CP210" s="606"/>
      <c r="CQ210" s="606"/>
      <c r="CR210" s="606"/>
      <c r="CS210" s="606"/>
      <c r="CT210" s="606"/>
      <c r="CU210" s="606"/>
      <c r="CV210" s="606"/>
      <c r="CW210" s="606"/>
      <c r="CX210" s="606"/>
      <c r="CY210" s="606"/>
      <c r="CZ210" s="606"/>
      <c r="DA210" s="606"/>
      <c r="DB210" s="606"/>
      <c r="DC210" s="606"/>
      <c r="DD210" s="606"/>
      <c r="DE210" s="606"/>
      <c r="DF210" s="606"/>
      <c r="DG210" s="606"/>
      <c r="DH210" s="606"/>
      <c r="DI210" s="606"/>
      <c r="DJ210" s="606"/>
      <c r="DK210" s="606"/>
      <c r="DL210" s="606"/>
      <c r="DM210" s="606"/>
      <c r="DN210" s="606"/>
      <c r="DO210" s="606"/>
      <c r="DP210" s="606"/>
      <c r="DQ210" s="606"/>
      <c r="DR210" s="606"/>
      <c r="DS210" s="606"/>
      <c r="DT210" s="606"/>
      <c r="DU210" s="606"/>
      <c r="DV210" s="606"/>
      <c r="DW210" s="606"/>
      <c r="DX210" s="606"/>
      <c r="DY210" s="606"/>
      <c r="DZ210" s="606"/>
      <c r="EA210" s="606"/>
      <c r="EB210" s="606"/>
    </row>
    <row r="211" spans="1:132" ht="14.25" customHeight="1" x14ac:dyDescent="0.25">
      <c r="A211" s="1"/>
      <c r="B211" s="15"/>
      <c r="C211" s="681"/>
      <c r="D211" s="52" t="s">
        <v>287</v>
      </c>
      <c r="E211" s="507"/>
      <c r="F211" s="52"/>
      <c r="G211" s="17"/>
      <c r="H211" s="17"/>
      <c r="I211" s="18"/>
      <c r="J211" s="6"/>
      <c r="K211" s="651"/>
      <c r="L211" s="296"/>
      <c r="M211" s="444"/>
      <c r="N211" s="444"/>
      <c r="O211" s="443"/>
      <c r="P211" s="443"/>
      <c r="Q211" s="443"/>
      <c r="R211" s="443"/>
      <c r="S211" s="296"/>
      <c r="T211" s="25"/>
      <c r="U211" s="533"/>
      <c r="V211" s="424"/>
      <c r="W211" s="1"/>
      <c r="X211" s="470"/>
      <c r="Y211" s="470"/>
      <c r="Z211" s="470"/>
      <c r="AA211" s="470"/>
      <c r="AB211" s="470"/>
      <c r="AC211" s="470"/>
      <c r="AD211" s="470"/>
      <c r="AE211" s="470"/>
      <c r="AF211" s="470"/>
      <c r="AG211" s="470"/>
      <c r="AH211" s="470"/>
      <c r="AI211" s="470"/>
      <c r="AJ211" s="470"/>
      <c r="AK211" s="470"/>
      <c r="AL211" s="470"/>
      <c r="AM211" s="470"/>
      <c r="AN211" s="470"/>
      <c r="AO211" s="470"/>
      <c r="AP211" s="470"/>
      <c r="AQ211" s="470"/>
      <c r="AR211" s="470"/>
      <c r="AS211" s="470"/>
      <c r="AT211" s="470"/>
      <c r="AU211" s="470"/>
      <c r="AV211" s="470"/>
      <c r="AW211" s="470"/>
      <c r="AX211" s="470"/>
      <c r="AY211" s="470"/>
      <c r="AZ211" s="470"/>
      <c r="BA211" s="470"/>
      <c r="BB211" s="470"/>
      <c r="BC211" s="470"/>
      <c r="BD211" s="470"/>
      <c r="BE211" s="470"/>
      <c r="BF211" s="470"/>
      <c r="BG211" s="470"/>
      <c r="BH211" s="470"/>
      <c r="BI211" s="470"/>
      <c r="BJ211" s="470"/>
      <c r="BK211" s="800"/>
      <c r="BL211" s="606"/>
      <c r="BM211" s="606"/>
      <c r="BN211" s="606"/>
      <c r="BO211" s="606"/>
      <c r="BP211" s="606"/>
      <c r="BQ211" s="606"/>
      <c r="BR211" s="606"/>
      <c r="BS211" s="606"/>
      <c r="BT211" s="606"/>
      <c r="BU211" s="606"/>
      <c r="BV211" s="606"/>
      <c r="BW211" s="606"/>
      <c r="BX211" s="606"/>
      <c r="BY211" s="606"/>
      <c r="BZ211" s="606"/>
      <c r="CA211" s="606"/>
      <c r="CB211" s="606"/>
      <c r="CC211" s="606"/>
      <c r="CD211" s="606"/>
      <c r="CE211" s="606"/>
      <c r="CF211" s="606"/>
      <c r="CG211" s="606"/>
      <c r="CH211" s="606"/>
      <c r="CI211" s="606"/>
      <c r="CJ211" s="606"/>
      <c r="CK211" s="606"/>
      <c r="CL211" s="606"/>
      <c r="CM211" s="606"/>
      <c r="CN211" s="606"/>
      <c r="CO211" s="606"/>
      <c r="CP211" s="606"/>
      <c r="CQ211" s="606"/>
      <c r="CR211" s="606"/>
      <c r="CS211" s="606"/>
      <c r="CT211" s="606"/>
      <c r="CU211" s="606"/>
      <c r="CV211" s="606"/>
      <c r="CW211" s="606"/>
      <c r="CX211" s="606"/>
      <c r="CY211" s="606"/>
      <c r="CZ211" s="606"/>
      <c r="DA211" s="606"/>
      <c r="DB211" s="606"/>
      <c r="DC211" s="606"/>
      <c r="DD211" s="606"/>
      <c r="DE211" s="606"/>
      <c r="DF211" s="606"/>
      <c r="DG211" s="606"/>
      <c r="DH211" s="606"/>
      <c r="DI211" s="606"/>
      <c r="DJ211" s="606"/>
      <c r="DK211" s="606"/>
      <c r="DL211" s="606"/>
      <c r="DM211" s="606"/>
      <c r="DN211" s="606"/>
      <c r="DO211" s="606"/>
      <c r="DP211" s="606"/>
      <c r="DQ211" s="606"/>
      <c r="DR211" s="606"/>
      <c r="DS211" s="606"/>
      <c r="DT211" s="606"/>
      <c r="DU211" s="606"/>
      <c r="DV211" s="606"/>
      <c r="DW211" s="606"/>
      <c r="DX211" s="606"/>
    </row>
    <row r="212" spans="1:132" ht="14.25" customHeight="1" thickBot="1" x14ac:dyDescent="0.3">
      <c r="A212" s="1"/>
      <c r="B212" s="15"/>
      <c r="C212" s="681"/>
      <c r="D212" s="52"/>
      <c r="E212" s="507"/>
      <c r="F212" s="52"/>
      <c r="G212" s="17"/>
      <c r="H212" s="17"/>
      <c r="I212" s="18"/>
      <c r="J212" s="6"/>
      <c r="K212" s="650"/>
      <c r="L212" s="376" t="s">
        <v>22</v>
      </c>
      <c r="M212" s="376" t="s">
        <v>416</v>
      </c>
      <c r="N212" s="56"/>
      <c r="O212" s="56"/>
      <c r="P212" s="56"/>
      <c r="Q212" s="56"/>
      <c r="R212" s="486"/>
      <c r="S212" s="486"/>
      <c r="T212" s="645"/>
      <c r="U212" s="486"/>
      <c r="V212" s="315"/>
      <c r="W212" s="1"/>
      <c r="X212" s="470"/>
      <c r="Y212" s="470"/>
      <c r="Z212" s="470"/>
      <c r="AA212" s="470"/>
      <c r="AB212" s="470"/>
      <c r="AC212" s="470"/>
      <c r="AD212" s="470"/>
      <c r="AE212" s="470"/>
      <c r="AF212" s="470"/>
      <c r="AG212" s="470"/>
      <c r="AH212" s="470"/>
      <c r="AI212" s="470"/>
      <c r="AJ212" s="470"/>
      <c r="AK212" s="470"/>
      <c r="AL212" s="470"/>
      <c r="AM212" s="470"/>
      <c r="AN212" s="470"/>
      <c r="AO212" s="470"/>
      <c r="AP212" s="470"/>
      <c r="AQ212" s="470"/>
      <c r="AR212" s="470"/>
      <c r="AS212" s="470"/>
      <c r="AT212" s="470"/>
      <c r="AU212" s="470"/>
      <c r="AV212" s="470"/>
      <c r="AW212" s="470"/>
      <c r="AX212" s="470"/>
      <c r="AY212" s="470"/>
      <c r="AZ212" s="470"/>
      <c r="BA212" s="470"/>
      <c r="BB212" s="470"/>
      <c r="BC212" s="470"/>
      <c r="BD212" s="470"/>
      <c r="BE212" s="470"/>
      <c r="BF212" s="470"/>
      <c r="BG212" s="470"/>
      <c r="BH212" s="470"/>
      <c r="BI212" s="470"/>
      <c r="BJ212" s="470"/>
      <c r="BK212" s="800"/>
      <c r="BL212" s="606"/>
      <c r="BM212" s="606"/>
      <c r="BN212" s="606"/>
      <c r="BO212" s="606"/>
      <c r="BP212" s="606"/>
      <c r="BQ212" s="606"/>
      <c r="BR212" s="606"/>
      <c r="BS212" s="606"/>
      <c r="BT212" s="805"/>
      <c r="BU212" s="606"/>
      <c r="BV212" s="606"/>
      <c r="BW212" s="606"/>
      <c r="BX212" s="606"/>
      <c r="BY212" s="606"/>
      <c r="BZ212" s="606"/>
      <c r="CA212" s="606"/>
      <c r="CB212" s="606"/>
      <c r="CC212" s="606"/>
      <c r="CD212" s="606"/>
      <c r="CE212" s="606"/>
      <c r="CF212" s="606"/>
      <c r="CG212" s="606"/>
      <c r="CH212" s="606"/>
      <c r="CI212" s="606"/>
      <c r="CJ212" s="606"/>
      <c r="CK212" s="606"/>
      <c r="CL212" s="606"/>
      <c r="CM212" s="606"/>
      <c r="CN212" s="606"/>
      <c r="CO212" s="606"/>
      <c r="CP212" s="606"/>
      <c r="CQ212" s="606"/>
      <c r="CR212" s="606"/>
      <c r="CS212" s="606"/>
      <c r="CT212" s="606"/>
      <c r="CU212" s="606"/>
      <c r="CV212" s="606"/>
      <c r="CW212" s="606"/>
      <c r="CX212" s="606"/>
      <c r="CY212" s="606"/>
      <c r="CZ212" s="606"/>
      <c r="DA212" s="606"/>
      <c r="DB212" s="606"/>
      <c r="DC212" s="606"/>
      <c r="DD212" s="606"/>
      <c r="DE212" s="606"/>
      <c r="DF212" s="606"/>
      <c r="DG212" s="606"/>
      <c r="DH212" s="606"/>
      <c r="DI212" s="606"/>
      <c r="DJ212" s="606"/>
      <c r="DK212" s="606"/>
      <c r="DL212" s="606"/>
      <c r="DM212" s="606"/>
      <c r="DN212" s="606"/>
      <c r="DO212" s="606"/>
      <c r="DP212" s="606"/>
      <c r="DQ212" s="606"/>
      <c r="DR212" s="606"/>
      <c r="DS212" s="606"/>
      <c r="DT212" s="606"/>
      <c r="DU212" s="606"/>
      <c r="DV212" s="606"/>
      <c r="DW212" s="606"/>
      <c r="DX212" s="606"/>
    </row>
    <row r="213" spans="1:132" ht="14.25" customHeight="1" thickBot="1" x14ac:dyDescent="0.3">
      <c r="A213" s="1"/>
      <c r="B213" s="501"/>
      <c r="C213" s="681" t="s">
        <v>224</v>
      </c>
      <c r="D213" s="61" t="s">
        <v>118</v>
      </c>
      <c r="E213" s="61" t="s">
        <v>277</v>
      </c>
      <c r="F213" s="110"/>
      <c r="G213" s="110"/>
      <c r="H213" s="110"/>
      <c r="I213" s="502"/>
      <c r="J213" s="6"/>
      <c r="K213" s="650"/>
      <c r="L213" s="376"/>
      <c r="M213" s="376" t="s">
        <v>420</v>
      </c>
      <c r="N213" s="56"/>
      <c r="O213" s="56"/>
      <c r="P213" s="56"/>
      <c r="Q213" s="56"/>
      <c r="R213" s="620"/>
      <c r="S213" s="619" t="s">
        <v>311</v>
      </c>
      <c r="T213" s="620" t="s">
        <v>310</v>
      </c>
      <c r="U213" s="105">
        <v>0.09</v>
      </c>
      <c r="V213" s="315"/>
      <c r="W213" s="1"/>
      <c r="X213" s="470"/>
      <c r="Y213" s="470"/>
      <c r="Z213" s="470"/>
      <c r="AA213" s="470"/>
      <c r="AB213" s="470"/>
      <c r="AC213" s="470"/>
      <c r="AD213" s="470"/>
      <c r="AE213" s="470"/>
      <c r="AF213" s="470"/>
      <c r="AG213" s="470"/>
      <c r="AH213" s="470"/>
      <c r="AI213" s="470"/>
      <c r="AJ213" s="470"/>
      <c r="AK213" s="470"/>
      <c r="AL213" s="470"/>
      <c r="AM213" s="470"/>
      <c r="AN213" s="470"/>
      <c r="AO213" s="470"/>
      <c r="AP213" s="470"/>
      <c r="AQ213" s="470"/>
      <c r="AR213" s="470"/>
      <c r="AS213" s="470"/>
      <c r="AT213" s="470"/>
      <c r="AU213" s="470"/>
      <c r="AV213" s="470"/>
      <c r="AW213" s="470"/>
      <c r="AX213" s="470"/>
      <c r="AY213" s="470"/>
      <c r="AZ213" s="470"/>
      <c r="BA213" s="470"/>
      <c r="BB213" s="470"/>
      <c r="BC213" s="470"/>
      <c r="BD213" s="470"/>
      <c r="BE213" s="470"/>
      <c r="BF213" s="470"/>
      <c r="BG213" s="470"/>
      <c r="BH213" s="470"/>
      <c r="BI213" s="470"/>
      <c r="BJ213" s="470"/>
      <c r="BK213" s="800"/>
      <c r="BL213" s="606"/>
      <c r="BM213" s="606"/>
      <c r="BN213" s="606"/>
      <c r="BO213" s="606"/>
      <c r="BP213" s="606"/>
      <c r="BQ213" s="606"/>
      <c r="BR213" s="606"/>
      <c r="BS213" s="606"/>
      <c r="BT213" s="606"/>
      <c r="BU213" s="606"/>
      <c r="BV213" s="606"/>
      <c r="BW213" s="606"/>
      <c r="BX213" s="606"/>
      <c r="BY213" s="606"/>
      <c r="BZ213" s="606"/>
      <c r="CA213" s="606"/>
      <c r="CB213" s="606"/>
      <c r="CC213" s="606"/>
      <c r="CD213" s="606"/>
      <c r="CE213" s="606"/>
      <c r="CF213" s="606"/>
      <c r="CG213" s="606"/>
      <c r="CH213" s="606"/>
      <c r="CI213" s="606"/>
      <c r="CJ213" s="606"/>
      <c r="CK213" s="606"/>
      <c r="CL213" s="606"/>
      <c r="CM213" s="606"/>
      <c r="CN213" s="606"/>
      <c r="CO213" s="606"/>
      <c r="CP213" s="606"/>
      <c r="CQ213" s="606"/>
      <c r="CR213" s="606"/>
      <c r="CS213" s="606"/>
      <c r="CT213" s="606"/>
      <c r="CU213" s="606"/>
      <c r="CV213" s="606"/>
      <c r="CW213" s="606"/>
      <c r="CX213" s="606"/>
      <c r="CY213" s="606"/>
      <c r="CZ213" s="606"/>
      <c r="DA213" s="606"/>
      <c r="DB213" s="606"/>
      <c r="DC213" s="606"/>
      <c r="DD213" s="606"/>
      <c r="DE213" s="606"/>
      <c r="DF213" s="606"/>
      <c r="DG213" s="606"/>
      <c r="DH213" s="606"/>
      <c r="DI213" s="606"/>
      <c r="DJ213" s="606"/>
      <c r="DK213" s="606"/>
      <c r="DL213" s="606"/>
      <c r="DM213" s="606"/>
      <c r="DN213" s="606"/>
      <c r="DO213" s="606"/>
      <c r="DP213" s="606"/>
      <c r="DQ213" s="606"/>
      <c r="DR213" s="606"/>
      <c r="DS213" s="606"/>
      <c r="DT213" s="606"/>
      <c r="DU213" s="606"/>
      <c r="DV213" s="606"/>
      <c r="DW213" s="606"/>
      <c r="DX213" s="606"/>
    </row>
    <row r="214" spans="1:132" ht="14.25" customHeight="1" x14ac:dyDescent="0.25">
      <c r="A214" s="1"/>
      <c r="B214" s="501"/>
      <c r="C214" s="681" t="s">
        <v>224</v>
      </c>
      <c r="D214" s="61" t="s">
        <v>119</v>
      </c>
      <c r="E214" s="61" t="s">
        <v>246</v>
      </c>
      <c r="F214" s="110"/>
      <c r="G214" s="110"/>
      <c r="H214" s="110"/>
      <c r="I214" s="502"/>
      <c r="J214" s="6"/>
      <c r="K214" s="650"/>
      <c r="L214" s="376"/>
      <c r="M214" s="376"/>
      <c r="N214" s="56"/>
      <c r="O214" s="56"/>
      <c r="P214" s="56"/>
      <c r="Q214" s="56"/>
      <c r="R214" s="402"/>
      <c r="S214" s="806"/>
      <c r="T214" s="26"/>
      <c r="U214" s="341"/>
      <c r="V214" s="315"/>
      <c r="W214" s="1"/>
      <c r="X214" s="470"/>
      <c r="Y214" s="470"/>
      <c r="Z214" s="470"/>
      <c r="AA214" s="470"/>
      <c r="AB214" s="470"/>
      <c r="AC214" s="470"/>
      <c r="AD214" s="470"/>
      <c r="AE214" s="470"/>
      <c r="AF214" s="470"/>
      <c r="AG214" s="470"/>
      <c r="AH214" s="470"/>
      <c r="AI214" s="470"/>
      <c r="AJ214" s="470"/>
      <c r="AK214" s="470"/>
      <c r="AL214" s="470"/>
      <c r="AM214" s="470"/>
      <c r="AN214" s="470"/>
      <c r="AO214" s="470"/>
      <c r="AP214" s="470"/>
      <c r="AQ214" s="470"/>
      <c r="AR214" s="470"/>
      <c r="AS214" s="470"/>
      <c r="AT214" s="470"/>
      <c r="AU214" s="470"/>
      <c r="AV214" s="470"/>
      <c r="AW214" s="470"/>
      <c r="AX214" s="470"/>
      <c r="AY214" s="470"/>
      <c r="AZ214" s="470"/>
      <c r="BA214" s="470"/>
      <c r="BB214" s="470"/>
      <c r="BC214" s="470"/>
      <c r="BD214" s="470"/>
      <c r="BE214" s="470"/>
      <c r="BF214" s="470"/>
      <c r="BG214" s="470"/>
      <c r="BH214" s="470"/>
      <c r="BI214" s="470"/>
      <c r="BJ214" s="470"/>
      <c r="BK214" s="800"/>
      <c r="BL214" s="606"/>
      <c r="BM214" s="606"/>
      <c r="BN214" s="606"/>
      <c r="BO214" s="606"/>
      <c r="BP214" s="606"/>
      <c r="BQ214" s="606"/>
      <c r="BR214" s="606"/>
      <c r="BS214" s="606"/>
      <c r="BT214" s="805"/>
      <c r="BU214" s="606"/>
      <c r="BV214" s="805"/>
      <c r="BW214" s="606"/>
      <c r="BX214" s="606"/>
      <c r="BY214" s="606"/>
      <c r="BZ214" s="606"/>
      <c r="CA214" s="606"/>
      <c r="CB214" s="606"/>
      <c r="CC214" s="606"/>
      <c r="CD214" s="606"/>
      <c r="CE214" s="606"/>
      <c r="CF214" s="606"/>
      <c r="CG214" s="606"/>
      <c r="CH214" s="606"/>
      <c r="CI214" s="606"/>
      <c r="CJ214" s="606"/>
      <c r="CK214" s="606"/>
      <c r="CL214" s="606"/>
      <c r="CM214" s="606"/>
      <c r="CN214" s="606"/>
      <c r="CO214" s="606"/>
      <c r="CP214" s="606"/>
      <c r="CQ214" s="606"/>
      <c r="CR214" s="606"/>
      <c r="CS214" s="606"/>
      <c r="CT214" s="606"/>
      <c r="CU214" s="606"/>
      <c r="CV214" s="606"/>
      <c r="CW214" s="606"/>
      <c r="CX214" s="606"/>
      <c r="CY214" s="606"/>
      <c r="CZ214" s="606"/>
      <c r="DA214" s="606"/>
      <c r="DB214" s="606"/>
      <c r="DC214" s="606"/>
      <c r="DD214" s="606"/>
      <c r="DE214" s="606"/>
      <c r="DF214" s="606"/>
      <c r="DG214" s="606"/>
      <c r="DH214" s="606"/>
      <c r="DI214" s="606"/>
      <c r="DJ214" s="606"/>
      <c r="DK214" s="606"/>
      <c r="DL214" s="606"/>
      <c r="DM214" s="606"/>
      <c r="DN214" s="606"/>
      <c r="DO214" s="606"/>
      <c r="DP214" s="606"/>
      <c r="DQ214" s="606"/>
      <c r="DR214" s="606"/>
      <c r="DS214" s="606"/>
      <c r="DT214" s="606"/>
      <c r="DU214" s="606"/>
      <c r="DV214" s="606"/>
      <c r="DW214" s="606"/>
      <c r="DX214" s="606"/>
    </row>
    <row r="215" spans="1:132" ht="14.25" customHeight="1" thickBot="1" x14ac:dyDescent="0.3">
      <c r="A215" s="1"/>
      <c r="B215" s="501"/>
      <c r="C215" s="681" t="s">
        <v>224</v>
      </c>
      <c r="D215" s="61" t="s">
        <v>370</v>
      </c>
      <c r="E215" s="61" t="s">
        <v>371</v>
      </c>
      <c r="F215" s="110"/>
      <c r="G215" s="110"/>
      <c r="H215" s="110"/>
      <c r="I215" s="502"/>
      <c r="J215" s="6"/>
      <c r="K215" s="650"/>
      <c r="L215" s="376"/>
      <c r="M215" s="376"/>
      <c r="N215" s="56"/>
      <c r="O215" s="56"/>
      <c r="P215" s="56"/>
      <c r="Q215" s="56"/>
      <c r="R215" s="402"/>
      <c r="S215" s="377"/>
      <c r="T215" s="26"/>
      <c r="U215" s="106"/>
      <c r="V215" s="315"/>
      <c r="W215" s="1"/>
      <c r="X215" s="470"/>
      <c r="Y215" s="470"/>
      <c r="Z215" s="470"/>
      <c r="AA215" s="470"/>
      <c r="AB215" s="470"/>
      <c r="AC215" s="470"/>
      <c r="AD215" s="470"/>
      <c r="AE215" s="470"/>
      <c r="AF215" s="470"/>
      <c r="AG215" s="470"/>
      <c r="AH215" s="470"/>
      <c r="AI215" s="470"/>
      <c r="AJ215" s="470"/>
      <c r="AK215" s="470"/>
      <c r="AL215" s="470"/>
      <c r="AM215" s="470"/>
      <c r="AN215" s="470"/>
      <c r="AO215" s="470"/>
      <c r="AP215" s="470"/>
      <c r="AQ215" s="470"/>
      <c r="AR215" s="470"/>
      <c r="AS215" s="470"/>
      <c r="AT215" s="470"/>
      <c r="AU215" s="470"/>
      <c r="AV215" s="470"/>
      <c r="AW215" s="470"/>
      <c r="AX215" s="470"/>
      <c r="AY215" s="470"/>
      <c r="AZ215" s="470"/>
      <c r="BA215" s="470"/>
      <c r="BB215" s="470"/>
      <c r="BC215" s="470"/>
      <c r="BD215" s="470"/>
      <c r="BE215" s="470"/>
      <c r="BF215" s="470"/>
      <c r="BG215" s="470"/>
      <c r="BH215" s="470"/>
      <c r="BI215" s="470"/>
      <c r="BJ215" s="470"/>
      <c r="BK215" s="800"/>
      <c r="BL215" s="606"/>
      <c r="BM215" s="606"/>
      <c r="BN215" s="606"/>
      <c r="BO215" s="606"/>
      <c r="BP215" s="606"/>
      <c r="BQ215" s="606"/>
      <c r="BR215" s="606"/>
      <c r="BS215" s="606"/>
      <c r="BT215" s="606"/>
      <c r="BU215" s="606"/>
      <c r="BV215" s="606"/>
      <c r="BW215" s="606"/>
      <c r="BX215" s="606"/>
      <c r="BY215" s="606"/>
      <c r="BZ215" s="606"/>
      <c r="CA215" s="606"/>
      <c r="CB215" s="606"/>
      <c r="CC215" s="606"/>
      <c r="CD215" s="606"/>
      <c r="CE215" s="606"/>
      <c r="CF215" s="606"/>
      <c r="CG215" s="606"/>
      <c r="CH215" s="606"/>
      <c r="CI215" s="606"/>
      <c r="CJ215" s="606"/>
      <c r="CK215" s="606"/>
      <c r="CL215" s="606"/>
      <c r="CM215" s="606"/>
      <c r="CN215" s="606"/>
      <c r="CO215" s="606"/>
      <c r="CP215" s="606"/>
      <c r="CQ215" s="606"/>
      <c r="CR215" s="606"/>
      <c r="CS215" s="606"/>
      <c r="CT215" s="606"/>
      <c r="CU215" s="606"/>
      <c r="CV215" s="606"/>
      <c r="CW215" s="606"/>
      <c r="CX215" s="606"/>
      <c r="CY215" s="606"/>
      <c r="CZ215" s="606"/>
      <c r="DA215" s="606"/>
      <c r="DB215" s="606"/>
      <c r="DC215" s="606"/>
      <c r="DD215" s="606"/>
      <c r="DE215" s="606"/>
      <c r="DF215" s="606"/>
      <c r="DG215" s="606"/>
      <c r="DH215" s="606"/>
      <c r="DI215" s="606"/>
      <c r="DJ215" s="606"/>
      <c r="DK215" s="606"/>
      <c r="DL215" s="606"/>
      <c r="DM215" s="606"/>
      <c r="DN215" s="606"/>
      <c r="DO215" s="606"/>
      <c r="DP215" s="606"/>
      <c r="DQ215" s="606"/>
      <c r="DR215" s="606"/>
      <c r="DS215" s="606"/>
      <c r="DT215" s="606"/>
      <c r="DU215" s="606"/>
      <c r="DV215" s="606"/>
      <c r="DW215" s="606"/>
      <c r="DX215" s="606"/>
    </row>
    <row r="216" spans="1:132" ht="14.25" customHeight="1" thickBot="1" x14ac:dyDescent="0.3">
      <c r="A216" s="1"/>
      <c r="B216" s="15"/>
      <c r="C216" s="681" t="s">
        <v>224</v>
      </c>
      <c r="D216" s="61" t="s">
        <v>362</v>
      </c>
      <c r="E216" s="17"/>
      <c r="F216" s="17"/>
      <c r="G216" s="17"/>
      <c r="H216" s="17"/>
      <c r="I216" s="18"/>
      <c r="J216" s="6"/>
      <c r="K216" s="650"/>
      <c r="L216" s="376" t="s">
        <v>29</v>
      </c>
      <c r="M216" s="296" t="s">
        <v>263</v>
      </c>
      <c r="N216" s="443"/>
      <c r="O216" s="443"/>
      <c r="P216" s="1056" t="s">
        <v>400</v>
      </c>
      <c r="Q216" s="1056"/>
      <c r="R216" s="1056"/>
      <c r="S216" s="296" t="s">
        <v>398</v>
      </c>
      <c r="T216" s="296"/>
      <c r="U216" s="108">
        <f>(U209/(U213*1000))</f>
        <v>8.8888888888888893</v>
      </c>
      <c r="V216" s="315"/>
      <c r="W216" s="1"/>
      <c r="X216" s="470"/>
      <c r="Y216" s="470"/>
      <c r="Z216" s="470"/>
      <c r="AA216" s="470"/>
      <c r="AB216" s="470"/>
      <c r="AC216" s="470"/>
      <c r="AD216" s="470"/>
      <c r="AE216" s="470"/>
      <c r="AF216" s="470"/>
      <c r="AG216" s="470"/>
      <c r="AH216" s="470"/>
      <c r="AI216" s="470"/>
      <c r="AJ216" s="470"/>
      <c r="AK216" s="470"/>
      <c r="AL216" s="470"/>
      <c r="AM216" s="470"/>
      <c r="AN216" s="470"/>
      <c r="AO216" s="470"/>
      <c r="AP216" s="470"/>
      <c r="AQ216" s="470"/>
      <c r="AR216" s="470"/>
      <c r="AS216" s="470"/>
      <c r="AT216" s="470"/>
      <c r="AU216" s="470"/>
      <c r="AV216" s="470"/>
      <c r="AW216" s="470"/>
      <c r="AX216" s="470"/>
      <c r="AY216" s="470"/>
      <c r="AZ216" s="470"/>
      <c r="BA216" s="470"/>
      <c r="BB216" s="470"/>
      <c r="BC216" s="470"/>
      <c r="BD216" s="470"/>
      <c r="BE216" s="470"/>
      <c r="BF216" s="470"/>
      <c r="BG216" s="470"/>
      <c r="BH216" s="470"/>
      <c r="BI216" s="470"/>
      <c r="BJ216" s="470"/>
      <c r="BK216" s="800"/>
      <c r="BL216" s="606"/>
      <c r="BM216" s="606"/>
      <c r="BN216" s="606"/>
      <c r="BO216" s="606"/>
      <c r="BP216" s="606"/>
      <c r="BQ216" s="606"/>
      <c r="BR216" s="606"/>
      <c r="BS216" s="606"/>
      <c r="BT216" s="606"/>
      <c r="BU216" s="606"/>
      <c r="BV216" s="606"/>
      <c r="BW216" s="606"/>
      <c r="BX216" s="606"/>
      <c r="BY216" s="606"/>
      <c r="BZ216" s="606"/>
      <c r="CA216" s="606"/>
      <c r="CB216" s="606"/>
      <c r="CC216" s="606"/>
      <c r="CD216" s="606"/>
      <c r="CE216" s="606"/>
      <c r="CF216" s="606"/>
      <c r="CG216" s="606"/>
      <c r="CH216" s="606"/>
      <c r="CI216" s="606"/>
      <c r="CJ216" s="606"/>
      <c r="CK216" s="606"/>
      <c r="CL216" s="606"/>
      <c r="CM216" s="606"/>
      <c r="CN216" s="606"/>
      <c r="CO216" s="606"/>
      <c r="CP216" s="606"/>
      <c r="CQ216" s="606"/>
      <c r="CR216" s="606"/>
      <c r="CS216" s="606"/>
      <c r="CT216" s="606"/>
      <c r="CU216" s="606"/>
      <c r="CV216" s="606"/>
      <c r="CW216" s="606"/>
      <c r="CX216" s="606"/>
      <c r="CY216" s="606"/>
      <c r="CZ216" s="606"/>
      <c r="DA216" s="606"/>
      <c r="DB216" s="606"/>
      <c r="DC216" s="606"/>
      <c r="DD216" s="606"/>
      <c r="DE216" s="606"/>
      <c r="DF216" s="606"/>
      <c r="DG216" s="606"/>
      <c r="DH216" s="606"/>
      <c r="DI216" s="606"/>
      <c r="DJ216" s="606"/>
      <c r="DK216" s="606"/>
      <c r="DL216" s="606"/>
      <c r="DM216" s="606"/>
      <c r="DN216" s="606"/>
      <c r="DO216" s="606"/>
      <c r="DP216" s="606"/>
      <c r="DQ216" s="606"/>
      <c r="DR216" s="606"/>
      <c r="DS216" s="606"/>
      <c r="DT216" s="606"/>
      <c r="DU216" s="606"/>
      <c r="DV216" s="606"/>
      <c r="DW216" s="606"/>
      <c r="DX216" s="606"/>
    </row>
    <row r="217" spans="1:132" ht="14.25" customHeight="1" x14ac:dyDescent="0.25">
      <c r="A217" s="1"/>
      <c r="B217" s="107"/>
      <c r="C217" s="681" t="s">
        <v>224</v>
      </c>
      <c r="D217" s="61" t="s">
        <v>360</v>
      </c>
      <c r="E217" s="52"/>
      <c r="F217" s="52"/>
      <c r="G217" s="52"/>
      <c r="H217" s="109"/>
      <c r="I217" s="512"/>
      <c r="J217" s="6"/>
      <c r="K217" s="650"/>
      <c r="L217" s="376"/>
      <c r="M217" s="296"/>
      <c r="N217" s="443"/>
      <c r="O217" s="443"/>
      <c r="P217" s="296"/>
      <c r="Q217" s="296"/>
      <c r="R217" s="296"/>
      <c r="S217" s="296"/>
      <c r="T217" s="296"/>
      <c r="U217" s="323"/>
      <c r="V217" s="315"/>
      <c r="W217" s="1"/>
      <c r="X217" s="470"/>
      <c r="Y217" s="470"/>
      <c r="Z217" s="470"/>
      <c r="AA217" s="470"/>
      <c r="AB217" s="470"/>
      <c r="AC217" s="470"/>
      <c r="AD217" s="470"/>
      <c r="AE217" s="470"/>
      <c r="AF217" s="470"/>
      <c r="AG217" s="470"/>
      <c r="AH217" s="470"/>
      <c r="AI217" s="470"/>
      <c r="AJ217" s="470"/>
      <c r="AK217" s="470"/>
      <c r="AL217" s="470"/>
      <c r="AM217" s="470"/>
      <c r="AN217" s="470"/>
      <c r="AO217" s="470"/>
      <c r="AP217" s="470"/>
      <c r="AQ217" s="470"/>
      <c r="AR217" s="470"/>
      <c r="AS217" s="470"/>
      <c r="AT217" s="470"/>
      <c r="AU217" s="470"/>
      <c r="AV217" s="470"/>
      <c r="AW217" s="470"/>
      <c r="AX217" s="470"/>
      <c r="AY217" s="470"/>
      <c r="AZ217" s="470"/>
      <c r="BA217" s="470"/>
      <c r="BB217" s="470"/>
      <c r="BC217" s="470"/>
      <c r="BD217" s="470"/>
      <c r="BE217" s="470"/>
      <c r="BF217" s="470"/>
      <c r="BG217" s="470"/>
      <c r="BH217" s="470"/>
      <c r="BI217" s="470"/>
      <c r="BJ217" s="470"/>
      <c r="BK217" s="800"/>
      <c r="BL217" s="606"/>
      <c r="BM217" s="606"/>
      <c r="BN217" s="606"/>
      <c r="BO217" s="802"/>
      <c r="BP217" s="606"/>
      <c r="BQ217" s="606"/>
      <c r="BR217" s="606"/>
      <c r="BS217" s="606"/>
      <c r="BT217" s="606"/>
      <c r="BU217" s="606"/>
      <c r="BV217" s="606"/>
      <c r="BW217" s="606"/>
      <c r="BX217" s="606"/>
      <c r="BY217" s="606"/>
      <c r="BZ217" s="606"/>
      <c r="CA217" s="606"/>
      <c r="CB217" s="606"/>
      <c r="CC217" s="606"/>
      <c r="CD217" s="606"/>
      <c r="CE217" s="606"/>
      <c r="CF217" s="606"/>
      <c r="CG217" s="606"/>
      <c r="CH217" s="606"/>
      <c r="CI217" s="606"/>
      <c r="CJ217" s="606"/>
      <c r="CK217" s="606"/>
      <c r="CL217" s="606"/>
      <c r="CM217" s="606"/>
      <c r="CN217" s="606"/>
      <c r="CO217" s="606"/>
      <c r="CP217" s="606"/>
      <c r="CQ217" s="606"/>
      <c r="CR217" s="606"/>
      <c r="CS217" s="606"/>
      <c r="CT217" s="606"/>
      <c r="CU217" s="606"/>
      <c r="CV217" s="606"/>
      <c r="CW217" s="606"/>
      <c r="CX217" s="606"/>
      <c r="CY217" s="606"/>
      <c r="CZ217" s="606"/>
      <c r="DA217" s="606"/>
      <c r="DB217" s="606"/>
      <c r="DC217" s="606"/>
      <c r="DD217" s="606"/>
      <c r="DE217" s="606"/>
      <c r="DF217" s="606"/>
      <c r="DG217" s="606"/>
      <c r="DH217" s="606"/>
      <c r="DI217" s="606"/>
      <c r="DJ217" s="606"/>
      <c r="DK217" s="606"/>
      <c r="DL217" s="606"/>
      <c r="DM217" s="606"/>
      <c r="DN217" s="606"/>
      <c r="DO217" s="606"/>
      <c r="DP217" s="606"/>
      <c r="DQ217" s="606"/>
      <c r="DR217" s="606"/>
      <c r="DS217" s="606"/>
      <c r="DT217" s="606"/>
      <c r="DU217" s="606"/>
      <c r="DV217" s="606"/>
      <c r="DW217" s="606"/>
      <c r="DX217" s="606"/>
    </row>
    <row r="218" spans="1:132" ht="14.25" customHeight="1" x14ac:dyDescent="0.25">
      <c r="A218" s="1"/>
      <c r="B218" s="107"/>
      <c r="C218" s="681" t="s">
        <v>224</v>
      </c>
      <c r="D218" s="61" t="s">
        <v>361</v>
      </c>
      <c r="E218" s="52"/>
      <c r="F218" s="52"/>
      <c r="G218" s="52"/>
      <c r="H218" s="109"/>
      <c r="I218" s="512"/>
      <c r="J218" s="6"/>
      <c r="K218" s="650"/>
      <c r="L218" s="376"/>
      <c r="M218" s="296"/>
      <c r="N218" s="56"/>
      <c r="O218" s="56"/>
      <c r="P218" s="56"/>
      <c r="Q218" s="403"/>
      <c r="R218" s="26"/>
      <c r="S218" s="26"/>
      <c r="T218" s="26"/>
      <c r="U218" s="323"/>
      <c r="V218" s="315"/>
      <c r="W218" s="1"/>
      <c r="X218" s="470"/>
      <c r="Y218" s="470"/>
      <c r="Z218" s="470"/>
      <c r="AA218" s="470"/>
      <c r="AB218" s="470"/>
      <c r="AC218" s="470"/>
      <c r="AD218" s="470"/>
      <c r="AE218" s="470"/>
      <c r="AF218" s="470"/>
      <c r="AG218" s="470"/>
      <c r="AH218" s="470"/>
      <c r="AI218" s="470"/>
      <c r="AJ218" s="470"/>
      <c r="AK218" s="470"/>
      <c r="AL218" s="470"/>
      <c r="AM218" s="470"/>
      <c r="AN218" s="470"/>
      <c r="AO218" s="470"/>
      <c r="AP218" s="470"/>
      <c r="AQ218" s="470"/>
      <c r="AR218" s="470"/>
      <c r="AS218" s="470"/>
      <c r="AT218" s="470"/>
      <c r="AU218" s="470"/>
      <c r="AV218" s="470"/>
      <c r="AW218" s="470"/>
      <c r="AX218" s="470"/>
      <c r="AY218" s="470"/>
      <c r="AZ218" s="470"/>
      <c r="BA218" s="470"/>
      <c r="BB218" s="470"/>
      <c r="BC218" s="470"/>
      <c r="BD218" s="470"/>
      <c r="BE218" s="470"/>
      <c r="BF218" s="470"/>
      <c r="BG218" s="470"/>
      <c r="BH218" s="470"/>
      <c r="BI218" s="470"/>
      <c r="BJ218" s="470"/>
      <c r="BK218" s="800"/>
      <c r="BL218" s="606"/>
      <c r="BM218" s="606"/>
      <c r="BN218" s="606"/>
      <c r="BO218" s="606"/>
      <c r="BP218" s="606"/>
      <c r="BQ218" s="606"/>
      <c r="BR218" s="606"/>
      <c r="BS218" s="606"/>
      <c r="BT218" s="606"/>
      <c r="BU218" s="606"/>
      <c r="BV218" s="606"/>
      <c r="BW218" s="606"/>
      <c r="BX218" s="606"/>
      <c r="BY218" s="606"/>
      <c r="BZ218" s="606"/>
      <c r="CA218" s="606"/>
      <c r="CB218" s="606"/>
      <c r="CC218" s="606"/>
      <c r="CD218" s="606"/>
      <c r="CE218" s="606"/>
      <c r="CF218" s="606"/>
      <c r="CG218" s="606"/>
      <c r="CH218" s="606"/>
      <c r="CI218" s="606"/>
      <c r="CJ218" s="606"/>
      <c r="CK218" s="606"/>
      <c r="CL218" s="606"/>
      <c r="CM218" s="606"/>
      <c r="CN218" s="606"/>
      <c r="CO218" s="606"/>
      <c r="CP218" s="606"/>
      <c r="CQ218" s="606"/>
      <c r="CR218" s="606"/>
      <c r="CS218" s="606"/>
      <c r="CT218" s="606"/>
      <c r="CU218" s="606"/>
      <c r="CV218" s="606"/>
      <c r="CW218" s="606"/>
      <c r="CX218" s="606"/>
      <c r="CY218" s="606"/>
      <c r="CZ218" s="606"/>
      <c r="DA218" s="606"/>
      <c r="DB218" s="606"/>
      <c r="DC218" s="606"/>
      <c r="DD218" s="606"/>
      <c r="DE218" s="606"/>
      <c r="DF218" s="606"/>
      <c r="DG218" s="606"/>
      <c r="DH218" s="606"/>
      <c r="DI218" s="606"/>
      <c r="DJ218" s="606"/>
      <c r="DK218" s="606"/>
      <c r="DL218" s="606"/>
      <c r="DM218" s="606"/>
      <c r="DN218" s="606"/>
      <c r="DO218" s="606"/>
      <c r="DP218" s="606"/>
      <c r="DQ218" s="606"/>
      <c r="DR218" s="606"/>
      <c r="DS218" s="606"/>
      <c r="DT218" s="606"/>
      <c r="DU218" s="606"/>
      <c r="DV218" s="606"/>
      <c r="DW218" s="606"/>
      <c r="DX218" s="606"/>
    </row>
    <row r="219" spans="1:132" ht="14.25" customHeight="1" x14ac:dyDescent="0.25">
      <c r="A219" s="1"/>
      <c r="B219" s="15"/>
      <c r="C219" s="514"/>
      <c r="D219" s="61"/>
      <c r="E219" s="52"/>
      <c r="F219" s="52"/>
      <c r="G219" s="52"/>
      <c r="H219" s="109"/>
      <c r="I219" s="512"/>
      <c r="J219" s="6"/>
      <c r="K219" s="650"/>
      <c r="L219" s="376" t="s">
        <v>142</v>
      </c>
      <c r="M219" s="296"/>
      <c r="N219" s="56"/>
      <c r="O219" s="56"/>
      <c r="P219" s="56"/>
      <c r="Q219" s="403"/>
      <c r="R219" s="26"/>
      <c r="S219" s="26"/>
      <c r="T219" s="26"/>
      <c r="U219" s="342"/>
      <c r="V219" s="315"/>
      <c r="W219" s="1"/>
      <c r="X219" s="470"/>
      <c r="Y219" s="470"/>
      <c r="Z219" s="470"/>
      <c r="AA219" s="470"/>
      <c r="AB219" s="470"/>
      <c r="AC219" s="470"/>
      <c r="AD219" s="470"/>
      <c r="AE219" s="470"/>
      <c r="AF219" s="470"/>
      <c r="AG219" s="470"/>
      <c r="AH219" s="470"/>
      <c r="AI219" s="470"/>
      <c r="AJ219" s="470"/>
      <c r="AK219" s="470"/>
      <c r="AL219" s="470"/>
      <c r="AM219" s="470"/>
      <c r="AN219" s="470"/>
      <c r="AO219" s="470"/>
      <c r="AP219" s="470"/>
      <c r="AQ219" s="470"/>
      <c r="AR219" s="470"/>
      <c r="AS219" s="470"/>
      <c r="AT219" s="470"/>
      <c r="AU219" s="470"/>
      <c r="AV219" s="470"/>
      <c r="AW219" s="470"/>
      <c r="AX219" s="470"/>
      <c r="AY219" s="470"/>
      <c r="AZ219" s="470"/>
      <c r="BA219" s="470"/>
      <c r="BB219" s="470"/>
      <c r="BC219" s="470"/>
      <c r="BD219" s="470"/>
      <c r="BE219" s="470"/>
      <c r="BF219" s="470"/>
      <c r="BG219" s="470"/>
      <c r="BH219" s="470"/>
      <c r="BI219" s="470"/>
      <c r="BJ219" s="470"/>
      <c r="BK219" s="800"/>
      <c r="BL219" s="606"/>
      <c r="BM219" s="606"/>
      <c r="BN219" s="606"/>
      <c r="BO219" s="606"/>
      <c r="BP219" s="606"/>
      <c r="BQ219" s="606"/>
      <c r="BR219" s="606"/>
      <c r="BS219" s="606"/>
      <c r="BT219" s="802"/>
      <c r="BU219" s="606"/>
      <c r="BV219" s="606"/>
      <c r="BW219" s="606"/>
      <c r="BX219" s="606"/>
      <c r="BY219" s="606"/>
      <c r="BZ219" s="606"/>
      <c r="CA219" s="606"/>
      <c r="CB219" s="606"/>
      <c r="CC219" s="606"/>
      <c r="CD219" s="606"/>
      <c r="CE219" s="606"/>
      <c r="CF219" s="606"/>
      <c r="CG219" s="606"/>
      <c r="CH219" s="606"/>
      <c r="CI219" s="606"/>
      <c r="CJ219" s="606"/>
      <c r="CK219" s="606"/>
      <c r="CL219" s="606"/>
      <c r="CM219" s="606"/>
      <c r="CN219" s="606"/>
      <c r="CO219" s="606"/>
      <c r="CP219" s="606"/>
      <c r="CQ219" s="606"/>
      <c r="CR219" s="606"/>
      <c r="CS219" s="606"/>
      <c r="CT219" s="606"/>
      <c r="CU219" s="606"/>
      <c r="CV219" s="606"/>
      <c r="CW219" s="606"/>
      <c r="CX219" s="606"/>
      <c r="CY219" s="606"/>
      <c r="CZ219" s="606"/>
      <c r="DA219" s="606"/>
      <c r="DB219" s="606"/>
      <c r="DC219" s="606"/>
      <c r="DD219" s="606"/>
      <c r="DE219" s="606"/>
      <c r="DF219" s="606"/>
      <c r="DG219" s="606"/>
      <c r="DH219" s="606"/>
      <c r="DI219" s="606"/>
      <c r="DJ219" s="606"/>
      <c r="DK219" s="606"/>
      <c r="DL219" s="606"/>
      <c r="DM219" s="606"/>
      <c r="DN219" s="606"/>
      <c r="DO219" s="606"/>
      <c r="DP219" s="606"/>
      <c r="DQ219" s="606"/>
      <c r="DR219" s="606"/>
      <c r="DS219" s="606"/>
      <c r="DT219" s="606"/>
      <c r="DU219" s="606"/>
      <c r="DV219" s="606"/>
      <c r="DW219" s="606"/>
      <c r="DX219" s="606"/>
    </row>
    <row r="220" spans="1:132" ht="14.25" customHeight="1" x14ac:dyDescent="0.25">
      <c r="A220" s="1"/>
      <c r="B220" s="15"/>
      <c r="C220" s="514"/>
      <c r="D220" s="90" t="s">
        <v>280</v>
      </c>
      <c r="E220" s="90" t="s">
        <v>270</v>
      </c>
      <c r="F220" s="90"/>
      <c r="G220" s="52"/>
      <c r="H220" s="52"/>
      <c r="I220" s="18"/>
      <c r="J220" s="6"/>
      <c r="K220" s="650"/>
      <c r="L220" s="376"/>
      <c r="M220" s="296"/>
      <c r="N220" s="56"/>
      <c r="O220" s="56"/>
      <c r="P220" s="56"/>
      <c r="Q220" s="403"/>
      <c r="R220" s="26"/>
      <c r="S220" s="26"/>
      <c r="T220" s="26"/>
      <c r="U220" s="323"/>
      <c r="V220" s="315"/>
      <c r="W220" s="1"/>
      <c r="X220" s="470"/>
      <c r="Y220" s="470"/>
      <c r="Z220" s="470"/>
      <c r="AA220" s="470"/>
      <c r="AB220" s="470"/>
      <c r="AC220" s="470"/>
      <c r="AD220" s="470"/>
      <c r="AE220" s="470"/>
      <c r="AF220" s="470"/>
      <c r="AG220" s="470"/>
      <c r="AH220" s="470"/>
      <c r="AI220" s="470"/>
      <c r="AJ220" s="470"/>
      <c r="AK220" s="470"/>
      <c r="AL220" s="470"/>
      <c r="AM220" s="470"/>
      <c r="AN220" s="470"/>
      <c r="AO220" s="470"/>
      <c r="AP220" s="470"/>
      <c r="AQ220" s="470"/>
      <c r="AR220" s="470"/>
      <c r="AS220" s="470"/>
      <c r="AT220" s="470"/>
      <c r="AU220" s="470"/>
      <c r="AV220" s="470"/>
      <c r="AW220" s="470"/>
      <c r="AX220" s="470"/>
      <c r="AY220" s="470"/>
      <c r="AZ220" s="470"/>
      <c r="BA220" s="470"/>
      <c r="BB220" s="470"/>
      <c r="BC220" s="470"/>
      <c r="BD220" s="470"/>
      <c r="BE220" s="470"/>
      <c r="BF220" s="470"/>
      <c r="BG220" s="470"/>
      <c r="BH220" s="470"/>
      <c r="BI220" s="470"/>
      <c r="BJ220" s="470"/>
      <c r="BK220" s="800"/>
      <c r="BL220" s="606"/>
      <c r="BM220" s="606"/>
      <c r="BN220" s="606"/>
      <c r="BO220" s="606"/>
      <c r="BP220" s="606"/>
      <c r="BQ220" s="606"/>
      <c r="BR220" s="606"/>
      <c r="BS220" s="606"/>
      <c r="BT220" s="606"/>
      <c r="BU220" s="606"/>
      <c r="BV220" s="606"/>
      <c r="BW220" s="606"/>
      <c r="BX220" s="606"/>
      <c r="BY220" s="606"/>
      <c r="BZ220" s="606"/>
      <c r="CA220" s="606"/>
      <c r="CB220" s="606"/>
      <c r="CC220" s="606"/>
      <c r="CD220" s="606"/>
      <c r="CE220" s="606"/>
      <c r="CF220" s="606"/>
      <c r="CG220" s="606"/>
      <c r="CH220" s="606"/>
      <c r="CI220" s="606"/>
      <c r="CJ220" s="606"/>
      <c r="CK220" s="606"/>
      <c r="CL220" s="606"/>
      <c r="CM220" s="606"/>
      <c r="CN220" s="606"/>
      <c r="CO220" s="606"/>
      <c r="CP220" s="606"/>
      <c r="CQ220" s="606"/>
      <c r="CR220" s="606"/>
      <c r="CS220" s="606"/>
      <c r="CT220" s="606"/>
      <c r="CU220" s="606"/>
      <c r="CV220" s="606"/>
      <c r="CW220" s="606"/>
      <c r="CX220" s="606"/>
      <c r="CY220" s="606"/>
      <c r="CZ220" s="606"/>
      <c r="DA220" s="606"/>
      <c r="DB220" s="606"/>
      <c r="DC220" s="606"/>
      <c r="DD220" s="606"/>
      <c r="DE220" s="606"/>
      <c r="DF220" s="606"/>
      <c r="DG220" s="606"/>
      <c r="DH220" s="606"/>
      <c r="DI220" s="606"/>
      <c r="DJ220" s="606"/>
      <c r="DK220" s="606"/>
      <c r="DL220" s="606"/>
      <c r="DM220" s="606"/>
      <c r="DN220" s="606"/>
      <c r="DO220" s="606"/>
      <c r="DP220" s="606"/>
      <c r="DQ220" s="606"/>
      <c r="DR220" s="606"/>
      <c r="DS220" s="606"/>
      <c r="DT220" s="606"/>
      <c r="DU220" s="606"/>
      <c r="DV220" s="606"/>
      <c r="DW220" s="606"/>
      <c r="DX220" s="606"/>
    </row>
    <row r="221" spans="1:132" ht="14.25" customHeight="1" x14ac:dyDescent="0.25">
      <c r="A221" s="1"/>
      <c r="B221" s="15"/>
      <c r="C221" s="514"/>
      <c r="D221" s="90"/>
      <c r="E221" s="90" t="s">
        <v>283</v>
      </c>
      <c r="F221" s="90"/>
      <c r="G221" s="52"/>
      <c r="H221" s="52"/>
      <c r="I221" s="18"/>
      <c r="J221" s="6"/>
      <c r="K221" s="650"/>
      <c r="L221" s="376"/>
      <c r="M221" s="358" t="s">
        <v>143</v>
      </c>
      <c r="N221" s="402"/>
      <c r="O221" s="56"/>
      <c r="P221" s="56"/>
      <c r="Q221" s="56"/>
      <c r="R221" s="404"/>
      <c r="S221" s="26"/>
      <c r="T221" s="26"/>
      <c r="U221" s="316"/>
      <c r="V221" s="315"/>
      <c r="W221" s="1"/>
      <c r="X221" s="470"/>
      <c r="Y221" s="470"/>
      <c r="Z221" s="470"/>
      <c r="AA221" s="470"/>
      <c r="AB221" s="470"/>
      <c r="AC221" s="470"/>
      <c r="AD221" s="470"/>
      <c r="AE221" s="470"/>
      <c r="AF221" s="470"/>
      <c r="AG221" s="470"/>
      <c r="AH221" s="470"/>
      <c r="AI221" s="470"/>
      <c r="AJ221" s="470"/>
      <c r="AK221" s="470"/>
      <c r="AL221" s="470"/>
      <c r="AM221" s="470"/>
      <c r="AN221" s="470"/>
      <c r="AO221" s="470"/>
      <c r="AP221" s="470"/>
      <c r="AQ221" s="470"/>
      <c r="AR221" s="470"/>
      <c r="AS221" s="470"/>
      <c r="AT221" s="470"/>
      <c r="AU221" s="470"/>
      <c r="AV221" s="470"/>
      <c r="AW221" s="470"/>
      <c r="AX221" s="470"/>
      <c r="AY221" s="470"/>
      <c r="AZ221" s="470"/>
      <c r="BA221" s="470"/>
      <c r="BB221" s="470"/>
      <c r="BC221" s="470"/>
      <c r="BD221" s="470"/>
      <c r="BE221" s="470"/>
      <c r="BF221" s="470"/>
      <c r="BG221" s="470"/>
      <c r="BH221" s="470"/>
      <c r="BI221" s="470"/>
      <c r="BJ221" s="470"/>
      <c r="BK221" s="800"/>
      <c r="BL221" s="606"/>
      <c r="BM221" s="606"/>
      <c r="BN221" s="606"/>
      <c r="BO221" s="606"/>
      <c r="BP221" s="606"/>
      <c r="BQ221" s="606"/>
      <c r="BR221" s="606"/>
      <c r="BS221" s="606"/>
      <c r="BT221" s="606"/>
      <c r="BU221" s="606"/>
      <c r="BV221" s="606"/>
      <c r="BW221" s="606"/>
      <c r="BX221" s="606"/>
      <c r="BY221" s="606"/>
      <c r="BZ221" s="606"/>
      <c r="CA221" s="606"/>
      <c r="CB221" s="606"/>
      <c r="CC221" s="606"/>
      <c r="CD221" s="606"/>
      <c r="CE221" s="606"/>
      <c r="CF221" s="606"/>
      <c r="CG221" s="606"/>
      <c r="CH221" s="606"/>
      <c r="CI221" s="606"/>
      <c r="CJ221" s="606"/>
      <c r="CK221" s="606"/>
      <c r="CL221" s="606"/>
      <c r="CM221" s="606"/>
      <c r="CN221" s="606"/>
      <c r="CO221" s="606"/>
      <c r="CP221" s="606"/>
      <c r="CQ221" s="606"/>
      <c r="CR221" s="606"/>
      <c r="CS221" s="606"/>
      <c r="CT221" s="606"/>
      <c r="CU221" s="606"/>
      <c r="CV221" s="606"/>
      <c r="CW221" s="606"/>
      <c r="CX221" s="606"/>
      <c r="CY221" s="606"/>
      <c r="CZ221" s="606"/>
      <c r="DA221" s="606"/>
      <c r="DB221" s="606"/>
      <c r="DC221" s="606"/>
      <c r="DD221" s="606"/>
      <c r="DE221" s="606"/>
      <c r="DF221" s="606"/>
      <c r="DG221" s="606"/>
      <c r="DH221" s="606"/>
      <c r="DI221" s="606"/>
      <c r="DJ221" s="606"/>
      <c r="DK221" s="606"/>
      <c r="DL221" s="606"/>
      <c r="DM221" s="606"/>
      <c r="DN221" s="606"/>
      <c r="DO221" s="606"/>
      <c r="DP221" s="606"/>
      <c r="DQ221" s="606"/>
      <c r="DR221" s="606"/>
      <c r="DS221" s="606"/>
      <c r="DT221" s="606"/>
      <c r="DU221" s="606"/>
      <c r="DV221" s="606"/>
      <c r="DW221" s="606"/>
      <c r="DX221" s="606"/>
    </row>
    <row r="222" spans="1:132" ht="14.25" customHeight="1" x14ac:dyDescent="0.25">
      <c r="A222" s="1"/>
      <c r="B222" s="15"/>
      <c r="C222" s="514"/>
      <c r="D222" s="90"/>
      <c r="E222" s="90" t="s">
        <v>282</v>
      </c>
      <c r="F222" s="90"/>
      <c r="G222" s="52"/>
      <c r="H222" s="52"/>
      <c r="I222" s="18"/>
      <c r="J222" s="6"/>
      <c r="K222" s="650"/>
      <c r="L222" s="376"/>
      <c r="M222" s="403" t="s">
        <v>269</v>
      </c>
      <c r="N222" s="403"/>
      <c r="O222" s="56"/>
      <c r="P222" s="56"/>
      <c r="Q222" s="26"/>
      <c r="R222" s="403"/>
      <c r="S222" s="26"/>
      <c r="T222" s="26"/>
      <c r="U222" s="316"/>
      <c r="V222" s="315"/>
      <c r="W222" s="1"/>
      <c r="X222" s="470"/>
      <c r="Y222" s="470"/>
      <c r="Z222" s="470"/>
      <c r="AA222" s="470"/>
      <c r="AB222" s="470"/>
      <c r="AC222" s="470"/>
      <c r="AD222" s="470"/>
      <c r="AE222" s="470"/>
      <c r="AF222" s="470"/>
      <c r="AG222" s="470"/>
      <c r="AH222" s="470"/>
      <c r="AI222" s="470"/>
      <c r="AJ222" s="470"/>
      <c r="AK222" s="470"/>
      <c r="AL222" s="470"/>
      <c r="AM222" s="470"/>
      <c r="AN222" s="470"/>
      <c r="AO222" s="470"/>
      <c r="AP222" s="470"/>
      <c r="AQ222" s="470"/>
      <c r="AR222" s="470"/>
      <c r="AS222" s="470"/>
      <c r="AT222" s="470"/>
      <c r="AU222" s="470"/>
      <c r="AV222" s="470"/>
      <c r="AW222" s="470"/>
      <c r="AX222" s="470"/>
      <c r="AY222" s="470"/>
      <c r="AZ222" s="470"/>
      <c r="BA222" s="470"/>
      <c r="BB222" s="470"/>
      <c r="BC222" s="470"/>
      <c r="BD222" s="470"/>
      <c r="BE222" s="470"/>
      <c r="BF222" s="470"/>
      <c r="BG222" s="470"/>
      <c r="BH222" s="470"/>
      <c r="BI222" s="470"/>
      <c r="BJ222" s="470"/>
      <c r="BK222" s="800"/>
      <c r="BL222" s="606"/>
      <c r="BM222" s="606"/>
      <c r="BN222" s="606"/>
      <c r="BO222" s="606"/>
      <c r="BP222" s="606"/>
      <c r="BQ222" s="606"/>
      <c r="BR222" s="606"/>
      <c r="BS222" s="606"/>
      <c r="BT222" s="606"/>
      <c r="BU222" s="606"/>
      <c r="BV222" s="606"/>
      <c r="BW222" s="606"/>
      <c r="BX222" s="606"/>
      <c r="BY222" s="606"/>
      <c r="BZ222" s="606"/>
      <c r="CA222" s="606"/>
      <c r="CB222" s="606"/>
      <c r="CC222" s="606"/>
      <c r="CD222" s="606"/>
      <c r="CE222" s="606"/>
      <c r="CF222" s="606"/>
      <c r="CG222" s="606"/>
      <c r="CH222" s="606"/>
      <c r="CI222" s="606"/>
      <c r="CJ222" s="606"/>
      <c r="CK222" s="606"/>
      <c r="CL222" s="606"/>
      <c r="CM222" s="606"/>
      <c r="CN222" s="606"/>
      <c r="CO222" s="606"/>
      <c r="CP222" s="606"/>
      <c r="CQ222" s="606"/>
      <c r="CR222" s="606"/>
      <c r="CS222" s="606"/>
      <c r="CT222" s="606"/>
      <c r="CU222" s="606"/>
      <c r="CV222" s="606"/>
      <c r="CW222" s="606"/>
      <c r="CX222" s="606"/>
      <c r="CY222" s="606"/>
      <c r="CZ222" s="606"/>
      <c r="DA222" s="606"/>
      <c r="DB222" s="606"/>
      <c r="DC222" s="606"/>
      <c r="DD222" s="606"/>
      <c r="DE222" s="606"/>
      <c r="DF222" s="606"/>
      <c r="DG222" s="606"/>
      <c r="DH222" s="606"/>
      <c r="DI222" s="606"/>
      <c r="DJ222" s="606"/>
      <c r="DK222" s="606"/>
      <c r="DL222" s="606"/>
      <c r="DM222" s="606"/>
      <c r="DN222" s="606"/>
      <c r="DO222" s="606"/>
      <c r="DP222" s="606"/>
      <c r="DQ222" s="606"/>
      <c r="DR222" s="606"/>
      <c r="DS222" s="606"/>
      <c r="DT222" s="606"/>
      <c r="DU222" s="606"/>
      <c r="DV222" s="606"/>
      <c r="DW222" s="606"/>
      <c r="DX222" s="606"/>
    </row>
    <row r="223" spans="1:132" ht="14.25" customHeight="1" x14ac:dyDescent="0.25">
      <c r="A223" s="1"/>
      <c r="B223" s="15"/>
      <c r="C223" s="514"/>
      <c r="D223" s="90"/>
      <c r="E223" s="90"/>
      <c r="F223" s="90"/>
      <c r="G223" s="52"/>
      <c r="H223" s="52"/>
      <c r="I223" s="18"/>
      <c r="J223" s="6"/>
      <c r="K223" s="650"/>
      <c r="L223" s="376"/>
      <c r="M223" s="403"/>
      <c r="N223" s="56"/>
      <c r="O223" s="56"/>
      <c r="P223" s="56"/>
      <c r="Q223" s="56"/>
      <c r="R223" s="404"/>
      <c r="S223" s="26"/>
      <c r="T223" s="26"/>
      <c r="U223" s="316"/>
      <c r="V223" s="315"/>
      <c r="W223" s="1"/>
      <c r="X223" s="470"/>
      <c r="Y223" s="470"/>
      <c r="Z223" s="470"/>
      <c r="AA223" s="470"/>
      <c r="AB223" s="470"/>
      <c r="AC223" s="470"/>
      <c r="AD223" s="470"/>
      <c r="AE223" s="470"/>
      <c r="AF223" s="470"/>
      <c r="AG223" s="470"/>
      <c r="AH223" s="470"/>
      <c r="AI223" s="470"/>
      <c r="AJ223" s="470"/>
      <c r="AK223" s="470"/>
      <c r="AL223" s="470"/>
      <c r="AM223" s="470"/>
      <c r="AN223" s="470"/>
      <c r="AO223" s="470"/>
      <c r="AP223" s="470"/>
      <c r="AQ223" s="470"/>
      <c r="AR223" s="470"/>
      <c r="AS223" s="470"/>
      <c r="AT223" s="470"/>
      <c r="AU223" s="470"/>
      <c r="AV223" s="470"/>
      <c r="AW223" s="470"/>
      <c r="AX223" s="470"/>
      <c r="AY223" s="470"/>
      <c r="AZ223" s="470"/>
      <c r="BA223" s="470"/>
      <c r="BB223" s="470"/>
      <c r="BC223" s="470"/>
      <c r="BD223" s="470"/>
      <c r="BE223" s="470"/>
      <c r="BF223" s="470"/>
      <c r="BG223" s="470"/>
      <c r="BH223" s="470"/>
      <c r="BI223" s="470"/>
      <c r="BJ223" s="470"/>
      <c r="BK223" s="800"/>
      <c r="BL223" s="606"/>
      <c r="BM223" s="606"/>
      <c r="BN223" s="606"/>
      <c r="BO223" s="606"/>
      <c r="BP223" s="606"/>
      <c r="BQ223" s="606"/>
      <c r="BR223" s="606"/>
      <c r="BS223" s="606"/>
      <c r="BT223" s="606"/>
      <c r="BU223" s="606"/>
      <c r="BV223" s="606"/>
      <c r="BW223" s="606"/>
      <c r="BX223" s="606"/>
      <c r="BY223" s="606"/>
      <c r="BZ223" s="606"/>
      <c r="CA223" s="606"/>
      <c r="CB223" s="606"/>
      <c r="CC223" s="606"/>
      <c r="CD223" s="606"/>
      <c r="CE223" s="606"/>
      <c r="CF223" s="606"/>
      <c r="CG223" s="606"/>
      <c r="CH223" s="606"/>
      <c r="CI223" s="606"/>
      <c r="CJ223" s="606"/>
      <c r="CK223" s="606"/>
      <c r="CL223" s="606"/>
      <c r="CM223" s="606"/>
      <c r="CN223" s="606"/>
      <c r="CO223" s="606"/>
      <c r="CP223" s="606"/>
      <c r="CQ223" s="606"/>
      <c r="CR223" s="606"/>
      <c r="CS223" s="606"/>
      <c r="CT223" s="606"/>
      <c r="CU223" s="606"/>
      <c r="CV223" s="606"/>
      <c r="CW223" s="606"/>
      <c r="CX223" s="606"/>
      <c r="CY223" s="606"/>
      <c r="CZ223" s="606"/>
      <c r="DA223" s="606"/>
      <c r="DB223" s="606"/>
      <c r="DC223" s="606"/>
      <c r="DD223" s="606"/>
      <c r="DE223" s="606"/>
      <c r="DF223" s="606"/>
      <c r="DG223" s="606"/>
      <c r="DH223" s="606"/>
      <c r="DI223" s="606"/>
      <c r="DJ223" s="606"/>
      <c r="DK223" s="606"/>
      <c r="DL223" s="606"/>
      <c r="DM223" s="606"/>
      <c r="DN223" s="606"/>
      <c r="DO223" s="606"/>
      <c r="DP223" s="606"/>
      <c r="DQ223" s="606"/>
      <c r="DR223" s="606"/>
      <c r="DS223" s="606"/>
      <c r="DT223" s="606"/>
      <c r="DU223" s="606"/>
      <c r="DV223" s="606"/>
      <c r="DW223" s="606"/>
      <c r="DX223" s="606"/>
    </row>
    <row r="224" spans="1:132" ht="14.25" customHeight="1" x14ac:dyDescent="0.25">
      <c r="A224" s="1"/>
      <c r="B224" s="15"/>
      <c r="C224" s="514"/>
      <c r="D224" s="90" t="s">
        <v>281</v>
      </c>
      <c r="E224" s="90" t="s">
        <v>271</v>
      </c>
      <c r="F224" s="90"/>
      <c r="G224" s="52"/>
      <c r="H224" s="52"/>
      <c r="I224" s="502"/>
      <c r="J224" s="1"/>
      <c r="K224" s="650"/>
      <c r="L224" s="376"/>
      <c r="M224" s="403" t="s">
        <v>144</v>
      </c>
      <c r="N224" s="56"/>
      <c r="O224" s="56"/>
      <c r="P224" s="56"/>
      <c r="Q224" s="56"/>
      <c r="R224" s="404"/>
      <c r="S224" s="26"/>
      <c r="T224" s="26"/>
      <c r="U224" s="316"/>
      <c r="V224" s="315"/>
      <c r="W224" s="1"/>
      <c r="X224" s="470"/>
      <c r="Y224" s="470"/>
      <c r="Z224" s="470"/>
      <c r="AA224" s="470"/>
      <c r="AB224" s="470"/>
      <c r="AC224" s="470"/>
      <c r="AD224" s="470"/>
      <c r="AE224" s="470"/>
      <c r="AF224" s="470"/>
      <c r="AG224" s="470"/>
      <c r="AH224" s="470"/>
      <c r="AI224" s="470"/>
      <c r="AJ224" s="470"/>
      <c r="AK224" s="470"/>
      <c r="AL224" s="470"/>
      <c r="AM224" s="470"/>
      <c r="AN224" s="470"/>
      <c r="AO224" s="470"/>
      <c r="AP224" s="470"/>
      <c r="AQ224" s="470"/>
      <c r="AR224" s="470"/>
      <c r="AS224" s="470"/>
      <c r="AT224" s="470"/>
      <c r="AU224" s="470"/>
      <c r="AV224" s="470"/>
      <c r="AW224" s="470"/>
      <c r="AX224" s="470"/>
      <c r="AY224" s="470"/>
      <c r="AZ224" s="470"/>
      <c r="BA224" s="470"/>
      <c r="BB224" s="470"/>
      <c r="BC224" s="470"/>
      <c r="BD224" s="470"/>
      <c r="BE224" s="470"/>
      <c r="BF224" s="470"/>
      <c r="BG224" s="470"/>
      <c r="BH224" s="470"/>
      <c r="BI224" s="470"/>
      <c r="BJ224" s="470"/>
      <c r="BK224" s="800"/>
      <c r="BL224" s="606"/>
      <c r="BM224" s="606"/>
      <c r="BN224" s="606"/>
      <c r="BO224" s="606"/>
      <c r="BP224" s="606"/>
      <c r="BQ224" s="606"/>
      <c r="BR224" s="606"/>
      <c r="BS224" s="606"/>
      <c r="BT224" s="606"/>
      <c r="BU224" s="606"/>
      <c r="BV224" s="606"/>
      <c r="BW224" s="606"/>
      <c r="BX224" s="606"/>
      <c r="BY224" s="606"/>
      <c r="BZ224" s="606"/>
      <c r="CA224" s="606"/>
      <c r="CB224" s="606"/>
      <c r="CC224" s="606"/>
      <c r="CD224" s="606"/>
      <c r="CE224" s="606"/>
      <c r="CF224" s="606"/>
      <c r="CG224" s="606"/>
      <c r="CH224" s="606"/>
      <c r="CI224" s="606"/>
      <c r="CJ224" s="606"/>
      <c r="CK224" s="606"/>
      <c r="CL224" s="606"/>
      <c r="CM224" s="606"/>
      <c r="CN224" s="606"/>
      <c r="CO224" s="606"/>
      <c r="CP224" s="606"/>
      <c r="CQ224" s="606"/>
      <c r="CR224" s="606"/>
      <c r="CS224" s="606"/>
      <c r="CT224" s="606"/>
      <c r="CU224" s="606"/>
      <c r="CV224" s="606"/>
      <c r="CW224" s="606"/>
      <c r="CX224" s="606"/>
      <c r="CY224" s="606"/>
      <c r="CZ224" s="606"/>
      <c r="DA224" s="606"/>
      <c r="DB224" s="606"/>
      <c r="DC224" s="606"/>
      <c r="DD224" s="606"/>
      <c r="DE224" s="606"/>
      <c r="DF224" s="606"/>
      <c r="DG224" s="606"/>
      <c r="DH224" s="606"/>
      <c r="DI224" s="606"/>
      <c r="DJ224" s="606"/>
      <c r="DK224" s="606"/>
      <c r="DL224" s="606"/>
      <c r="DM224" s="606"/>
      <c r="DN224" s="606"/>
      <c r="DO224" s="606"/>
      <c r="DP224" s="606"/>
      <c r="DQ224" s="606"/>
      <c r="DR224" s="606"/>
      <c r="DS224" s="606"/>
      <c r="DT224" s="606"/>
      <c r="DU224" s="606"/>
      <c r="DV224" s="606"/>
      <c r="DW224" s="606"/>
      <c r="DX224" s="606"/>
    </row>
    <row r="225" spans="1:128" ht="14.25" customHeight="1" x14ac:dyDescent="0.25">
      <c r="A225" s="1"/>
      <c r="B225" s="15"/>
      <c r="C225" s="514"/>
      <c r="D225" s="61"/>
      <c r="E225" s="90" t="s">
        <v>284</v>
      </c>
      <c r="F225" s="89"/>
      <c r="G225" s="89"/>
      <c r="H225" s="17"/>
      <c r="I225" s="502"/>
      <c r="J225" s="1"/>
      <c r="K225" s="650"/>
      <c r="L225" s="376"/>
      <c r="M225" s="403" t="s">
        <v>272</v>
      </c>
      <c r="N225" s="403"/>
      <c r="O225" s="56"/>
      <c r="P225" s="56"/>
      <c r="Q225" s="56"/>
      <c r="R225" s="404"/>
      <c r="S225" s="26"/>
      <c r="T225" s="26"/>
      <c r="U225" s="26"/>
      <c r="V225" s="315"/>
      <c r="W225" s="1"/>
      <c r="X225" s="470"/>
      <c r="Y225" s="470"/>
      <c r="Z225" s="470"/>
      <c r="AA225" s="470"/>
      <c r="AB225" s="470"/>
      <c r="AC225" s="470"/>
      <c r="AD225" s="470"/>
      <c r="AE225" s="470"/>
      <c r="AF225" s="470"/>
      <c r="AG225" s="470"/>
      <c r="AH225" s="470"/>
      <c r="AI225" s="470"/>
      <c r="AJ225" s="470"/>
      <c r="AK225" s="470"/>
      <c r="AL225" s="470"/>
      <c r="AM225" s="470"/>
      <c r="AN225" s="470"/>
      <c r="AO225" s="470"/>
      <c r="AP225" s="470"/>
      <c r="AQ225" s="470"/>
      <c r="AR225" s="470"/>
      <c r="AS225" s="470"/>
      <c r="AT225" s="470"/>
      <c r="AU225" s="470"/>
      <c r="AV225" s="470"/>
      <c r="AW225" s="470"/>
      <c r="AX225" s="470"/>
      <c r="AY225" s="470"/>
      <c r="AZ225" s="470"/>
      <c r="BA225" s="470"/>
      <c r="BB225" s="470"/>
      <c r="BC225" s="470"/>
      <c r="BD225" s="470"/>
      <c r="BE225" s="470"/>
      <c r="BF225" s="470"/>
      <c r="BG225" s="470"/>
      <c r="BH225" s="470"/>
      <c r="BI225" s="470"/>
      <c r="BJ225" s="470"/>
      <c r="BK225" s="800"/>
      <c r="BL225" s="606"/>
      <c r="BM225" s="606"/>
      <c r="BN225" s="606"/>
      <c r="BO225" s="805"/>
      <c r="BP225" s="606"/>
      <c r="BQ225" s="606"/>
      <c r="BR225" s="606"/>
      <c r="BS225" s="606"/>
      <c r="BT225" s="802"/>
      <c r="BU225" s="606"/>
      <c r="BV225" s="606"/>
      <c r="BW225" s="606"/>
      <c r="BX225" s="606"/>
      <c r="BY225" s="606"/>
      <c r="BZ225" s="606"/>
      <c r="CA225" s="606"/>
      <c r="CB225" s="606"/>
      <c r="CC225" s="606"/>
      <c r="CD225" s="606"/>
      <c r="CE225" s="606"/>
      <c r="CF225" s="606"/>
      <c r="CG225" s="606"/>
      <c r="CH225" s="606"/>
      <c r="CI225" s="606"/>
      <c r="CJ225" s="606"/>
      <c r="CK225" s="606"/>
      <c r="CL225" s="606"/>
      <c r="CM225" s="606"/>
      <c r="CN225" s="606"/>
      <c r="CO225" s="606"/>
      <c r="CP225" s="606"/>
      <c r="CQ225" s="606"/>
      <c r="CR225" s="606"/>
      <c r="CS225" s="606"/>
      <c r="CT225" s="606"/>
      <c r="CU225" s="606"/>
      <c r="CV225" s="606"/>
      <c r="CW225" s="606"/>
      <c r="CX225" s="606"/>
      <c r="CY225" s="606"/>
      <c r="CZ225" s="606"/>
      <c r="DA225" s="606"/>
      <c r="DB225" s="606"/>
      <c r="DC225" s="606"/>
      <c r="DD225" s="606"/>
      <c r="DE225" s="606"/>
      <c r="DF225" s="606"/>
      <c r="DG225" s="606"/>
      <c r="DH225" s="606"/>
      <c r="DI225" s="606"/>
      <c r="DJ225" s="606"/>
      <c r="DK225" s="606"/>
      <c r="DL225" s="606"/>
      <c r="DM225" s="606"/>
      <c r="DN225" s="606"/>
      <c r="DO225" s="606"/>
      <c r="DP225" s="606"/>
      <c r="DQ225" s="606"/>
      <c r="DR225" s="606"/>
      <c r="DS225" s="606"/>
      <c r="DT225" s="606"/>
      <c r="DU225" s="606"/>
      <c r="DV225" s="606"/>
      <c r="DW225" s="606"/>
      <c r="DX225" s="606"/>
    </row>
    <row r="226" spans="1:128" ht="14.25" customHeight="1" x14ac:dyDescent="0.25">
      <c r="A226" s="1"/>
      <c r="B226" s="15"/>
      <c r="C226" s="514"/>
      <c r="D226" s="61"/>
      <c r="E226" s="90" t="s">
        <v>285</v>
      </c>
      <c r="F226" s="89"/>
      <c r="G226" s="89"/>
      <c r="H226" s="17"/>
      <c r="I226" s="502"/>
      <c r="J226" s="1"/>
      <c r="K226" s="650"/>
      <c r="L226" s="755"/>
      <c r="M226" s="791"/>
      <c r="N226" s="792"/>
      <c r="O226" s="751"/>
      <c r="P226" s="751"/>
      <c r="Q226" s="751"/>
      <c r="R226" s="791"/>
      <c r="S226" s="752"/>
      <c r="T226" s="752"/>
      <c r="U226" s="752"/>
      <c r="V226" s="315"/>
      <c r="W226" s="1"/>
      <c r="X226" s="470"/>
      <c r="Y226" s="470"/>
      <c r="Z226" s="470"/>
      <c r="AA226" s="470"/>
      <c r="AB226" s="470"/>
      <c r="AC226" s="470"/>
      <c r="AD226" s="470"/>
      <c r="AE226" s="470"/>
      <c r="AF226" s="470"/>
      <c r="AG226" s="470"/>
      <c r="AH226" s="470"/>
      <c r="AI226" s="470"/>
      <c r="AJ226" s="470"/>
      <c r="AK226" s="470"/>
      <c r="AL226" s="470"/>
      <c r="AM226" s="470"/>
      <c r="AN226" s="470"/>
      <c r="AO226" s="470"/>
      <c r="AP226" s="470"/>
      <c r="AQ226" s="470"/>
      <c r="AR226" s="470"/>
      <c r="AS226" s="470"/>
      <c r="AT226" s="470"/>
      <c r="AU226" s="470"/>
      <c r="AV226" s="470"/>
      <c r="AW226" s="470"/>
      <c r="AX226" s="470"/>
      <c r="AY226" s="470"/>
      <c r="AZ226" s="470"/>
      <c r="BA226" s="470"/>
      <c r="BB226" s="470"/>
      <c r="BC226" s="470"/>
      <c r="BD226" s="470"/>
      <c r="BE226" s="470"/>
      <c r="BF226" s="470"/>
      <c r="BG226" s="470"/>
      <c r="BH226" s="470"/>
      <c r="BI226" s="470"/>
      <c r="BJ226" s="470"/>
      <c r="BK226" s="800"/>
      <c r="BL226" s="606"/>
      <c r="BM226" s="606"/>
      <c r="BN226" s="606"/>
      <c r="BO226" s="805"/>
      <c r="BP226" s="606"/>
      <c r="BQ226" s="606"/>
      <c r="BR226" s="606"/>
      <c r="BS226" s="606"/>
      <c r="BT226" s="606"/>
      <c r="BU226" s="606"/>
      <c r="BV226" s="606"/>
      <c r="BW226" s="606"/>
      <c r="BX226" s="606"/>
      <c r="BY226" s="606"/>
      <c r="BZ226" s="606"/>
      <c r="CA226" s="606"/>
      <c r="CB226" s="606"/>
      <c r="CC226" s="606"/>
      <c r="CD226" s="606"/>
      <c r="CE226" s="606"/>
      <c r="CF226" s="606"/>
      <c r="CG226" s="606"/>
      <c r="CH226" s="606"/>
      <c r="CI226" s="606"/>
      <c r="CJ226" s="606"/>
      <c r="CK226" s="606"/>
      <c r="CL226" s="606"/>
      <c r="CM226" s="606"/>
      <c r="CN226" s="606"/>
      <c r="CO226" s="606"/>
      <c r="CP226" s="606"/>
      <c r="CQ226" s="606"/>
      <c r="CR226" s="606"/>
      <c r="CS226" s="606"/>
      <c r="CT226" s="606"/>
      <c r="CU226" s="606"/>
      <c r="CV226" s="606"/>
      <c r="CW226" s="606"/>
      <c r="CX226" s="606"/>
      <c r="CY226" s="606"/>
      <c r="CZ226" s="606"/>
      <c r="DA226" s="606"/>
      <c r="DB226" s="606"/>
      <c r="DC226" s="606"/>
      <c r="DD226" s="606"/>
      <c r="DE226" s="606"/>
      <c r="DF226" s="606"/>
      <c r="DG226" s="606"/>
      <c r="DH226" s="606"/>
      <c r="DI226" s="606"/>
      <c r="DJ226" s="606"/>
      <c r="DK226" s="606"/>
      <c r="DL226" s="606"/>
      <c r="DM226" s="606"/>
      <c r="DN226" s="606"/>
      <c r="DO226" s="606"/>
      <c r="DP226" s="606"/>
      <c r="DQ226" s="606"/>
      <c r="DR226" s="606"/>
      <c r="DS226" s="606"/>
      <c r="DT226" s="606"/>
      <c r="DU226" s="606"/>
      <c r="DV226" s="606"/>
      <c r="DW226" s="606"/>
      <c r="DX226" s="606"/>
    </row>
    <row r="227" spans="1:128" ht="15.75" customHeight="1" thickBot="1" x14ac:dyDescent="0.3">
      <c r="A227" s="1"/>
      <c r="B227" s="15"/>
      <c r="C227" s="514"/>
      <c r="D227" s="17"/>
      <c r="E227" s="17"/>
      <c r="F227" s="17"/>
      <c r="G227" s="17"/>
      <c r="H227" s="17"/>
      <c r="I227" s="18"/>
      <c r="J227" s="1"/>
      <c r="K227" s="650"/>
      <c r="L227" s="755"/>
      <c r="M227" s="791"/>
      <c r="N227" s="792"/>
      <c r="O227" s="751"/>
      <c r="P227" s="751"/>
      <c r="Q227" s="751"/>
      <c r="R227" s="791"/>
      <c r="S227" s="752"/>
      <c r="T227" s="752"/>
      <c r="U227" s="752"/>
      <c r="V227" s="315"/>
      <c r="W227" s="1"/>
      <c r="X227" s="470"/>
      <c r="Y227" s="470"/>
      <c r="Z227" s="470"/>
      <c r="AA227" s="470"/>
      <c r="AB227" s="470"/>
      <c r="AC227" s="470"/>
      <c r="AD227" s="470"/>
      <c r="AE227" s="470"/>
      <c r="AF227" s="470"/>
      <c r="AG227" s="470"/>
      <c r="AH227" s="470"/>
      <c r="AI227" s="470"/>
      <c r="AJ227" s="470"/>
      <c r="AK227" s="470"/>
      <c r="AL227" s="470"/>
      <c r="AM227" s="470"/>
      <c r="AN227" s="470"/>
      <c r="AO227" s="470"/>
      <c r="AP227" s="470"/>
      <c r="AQ227" s="470"/>
      <c r="AR227" s="470"/>
      <c r="AS227" s="470"/>
      <c r="AT227" s="470"/>
      <c r="AU227" s="470"/>
      <c r="AV227" s="470"/>
      <c r="AW227" s="470"/>
      <c r="AX227" s="470"/>
      <c r="AY227" s="470"/>
      <c r="AZ227" s="470"/>
      <c r="BA227" s="470"/>
      <c r="BB227" s="470"/>
      <c r="BC227" s="470"/>
      <c r="BD227" s="470"/>
      <c r="BE227" s="470"/>
      <c r="BF227" s="470"/>
      <c r="BG227" s="470"/>
      <c r="BH227" s="470"/>
      <c r="BI227" s="470"/>
      <c r="BJ227" s="470"/>
      <c r="BK227" s="800"/>
      <c r="BL227" s="606"/>
      <c r="BM227" s="606"/>
      <c r="BN227" s="606"/>
      <c r="BO227" s="805"/>
      <c r="BP227" s="606"/>
      <c r="BQ227" s="606"/>
      <c r="BR227" s="606"/>
      <c r="BS227" s="606"/>
      <c r="BT227" s="606"/>
      <c r="BU227" s="606"/>
      <c r="BV227" s="606"/>
      <c r="BW227" s="606"/>
      <c r="BX227" s="606"/>
      <c r="BY227" s="606"/>
      <c r="BZ227" s="606"/>
      <c r="CA227" s="606"/>
      <c r="CB227" s="802"/>
      <c r="CC227" s="606"/>
      <c r="CD227" s="606"/>
      <c r="CE227" s="606"/>
      <c r="CF227" s="606"/>
      <c r="CG227" s="606"/>
      <c r="CH227" s="606"/>
      <c r="CI227" s="606"/>
      <c r="CJ227" s="606"/>
      <c r="CK227" s="606"/>
      <c r="CL227" s="606"/>
      <c r="CM227" s="606"/>
      <c r="CN227" s="606"/>
      <c r="CO227" s="606"/>
      <c r="CP227" s="606"/>
      <c r="CQ227" s="606"/>
      <c r="CR227" s="606"/>
      <c r="CS227" s="606"/>
      <c r="CT227" s="606"/>
      <c r="CU227" s="606"/>
      <c r="CV227" s="606"/>
      <c r="CW227" s="606"/>
      <c r="CX227" s="606"/>
      <c r="CY227" s="606"/>
      <c r="CZ227" s="606"/>
      <c r="DA227" s="606"/>
      <c r="DB227" s="606"/>
      <c r="DC227" s="606"/>
      <c r="DD227" s="606"/>
      <c r="DE227" s="606"/>
      <c r="DF227" s="606"/>
      <c r="DG227" s="606"/>
      <c r="DH227" s="606"/>
      <c r="DI227" s="606"/>
      <c r="DJ227" s="606"/>
      <c r="DK227" s="606"/>
      <c r="DL227" s="606"/>
      <c r="DM227" s="606"/>
      <c r="DN227" s="606"/>
      <c r="DO227" s="606"/>
      <c r="DP227" s="606"/>
      <c r="DQ227" s="606"/>
      <c r="DR227" s="606"/>
      <c r="DS227" s="606"/>
      <c r="DT227" s="606"/>
      <c r="DU227" s="606"/>
      <c r="DV227" s="606"/>
      <c r="DW227" s="606"/>
      <c r="DX227" s="606"/>
    </row>
    <row r="228" spans="1:128" ht="15.75" customHeight="1" thickBot="1" x14ac:dyDescent="0.3">
      <c r="A228" s="1"/>
      <c r="B228" s="15"/>
      <c r="C228" s="52" t="s">
        <v>369</v>
      </c>
      <c r="D228" s="109"/>
      <c r="E228" s="52"/>
      <c r="F228" s="52"/>
      <c r="G228" s="52"/>
      <c r="H228" s="17"/>
      <c r="I228" s="18"/>
      <c r="J228" s="1"/>
      <c r="K228" s="650"/>
      <c r="L228" s="376" t="s">
        <v>44</v>
      </c>
      <c r="M228" s="26" t="s">
        <v>288</v>
      </c>
      <c r="N228" s="26"/>
      <c r="O228" s="316"/>
      <c r="P228" s="321" t="s">
        <v>79</v>
      </c>
      <c r="Q228" s="57" t="s">
        <v>86</v>
      </c>
      <c r="R228" s="322" t="s">
        <v>87</v>
      </c>
      <c r="S228" s="321" t="s">
        <v>111</v>
      </c>
      <c r="T228" s="57" t="s">
        <v>112</v>
      </c>
      <c r="U228" s="57" t="s">
        <v>113</v>
      </c>
      <c r="V228" s="315"/>
      <c r="W228" s="1"/>
      <c r="X228" s="470"/>
      <c r="Y228" s="470"/>
      <c r="Z228" s="470"/>
      <c r="AA228" s="470"/>
      <c r="AB228" s="470"/>
      <c r="AC228" s="470"/>
      <c r="AD228" s="470"/>
      <c r="AE228" s="470"/>
      <c r="AF228" s="470"/>
      <c r="AG228" s="470"/>
      <c r="AH228" s="470"/>
      <c r="AI228" s="470"/>
      <c r="AJ228" s="470"/>
      <c r="AK228" s="470"/>
      <c r="AL228" s="470"/>
      <c r="AM228" s="470"/>
      <c r="AN228" s="470"/>
      <c r="AO228" s="470"/>
      <c r="AP228" s="470"/>
      <c r="AQ228" s="470"/>
      <c r="AR228" s="470"/>
      <c r="AS228" s="470"/>
      <c r="AT228" s="470"/>
      <c r="AU228" s="470"/>
      <c r="AV228" s="470"/>
      <c r="AW228" s="470"/>
      <c r="AX228" s="470"/>
      <c r="AY228" s="470"/>
      <c r="AZ228" s="470"/>
      <c r="BA228" s="470"/>
      <c r="BB228" s="470"/>
      <c r="BC228" s="470"/>
      <c r="BD228" s="470"/>
      <c r="BE228" s="470"/>
      <c r="BF228" s="470"/>
      <c r="BG228" s="470"/>
      <c r="BH228" s="470"/>
      <c r="BI228" s="470"/>
      <c r="BJ228" s="470"/>
      <c r="BK228" s="800"/>
      <c r="BL228" s="606"/>
      <c r="BM228" s="606"/>
      <c r="BN228" s="606"/>
      <c r="BO228" s="805"/>
      <c r="BP228" s="606"/>
      <c r="BQ228" s="606"/>
      <c r="BR228" s="606"/>
      <c r="BS228" s="606"/>
      <c r="BT228" s="606"/>
      <c r="BU228" s="606"/>
      <c r="BV228" s="606"/>
      <c r="BW228" s="606"/>
      <c r="BX228" s="606"/>
      <c r="BY228" s="606"/>
      <c r="BZ228" s="606"/>
      <c r="CA228" s="606"/>
      <c r="CB228" s="606"/>
      <c r="CC228" s="606"/>
      <c r="CD228" s="606"/>
      <c r="CE228" s="606"/>
      <c r="CF228" s="606"/>
      <c r="CG228" s="606"/>
      <c r="CH228" s="606"/>
      <c r="CI228" s="606"/>
      <c r="CJ228" s="606"/>
      <c r="CK228" s="606"/>
      <c r="CL228" s="606"/>
      <c r="CM228" s="606"/>
      <c r="CN228" s="606"/>
      <c r="CO228" s="606"/>
      <c r="CP228" s="606"/>
      <c r="CQ228" s="606"/>
      <c r="CR228" s="606"/>
      <c r="CS228" s="606"/>
      <c r="CT228" s="606"/>
      <c r="CU228" s="606"/>
      <c r="CV228" s="606"/>
      <c r="CW228" s="606"/>
      <c r="CX228" s="606"/>
      <c r="CY228" s="606"/>
      <c r="CZ228" s="606"/>
      <c r="DA228" s="606"/>
      <c r="DB228" s="606"/>
      <c r="DC228" s="606"/>
      <c r="DD228" s="606"/>
      <c r="DE228" s="606"/>
      <c r="DF228" s="606"/>
      <c r="DG228" s="606"/>
      <c r="DH228" s="606"/>
      <c r="DI228" s="606"/>
      <c r="DJ228" s="606"/>
      <c r="DK228" s="606"/>
      <c r="DL228" s="606"/>
      <c r="DM228" s="606"/>
      <c r="DN228" s="606"/>
      <c r="DO228" s="606"/>
      <c r="DP228" s="606"/>
      <c r="DQ228" s="606"/>
      <c r="DR228" s="606"/>
      <c r="DS228" s="606"/>
      <c r="DT228" s="606"/>
      <c r="DU228" s="606"/>
      <c r="DV228" s="606"/>
      <c r="DW228" s="606"/>
      <c r="DX228" s="606"/>
    </row>
    <row r="229" spans="1:128" ht="15.75" customHeight="1" thickBot="1" x14ac:dyDescent="0.3">
      <c r="A229" s="1"/>
      <c r="B229" s="15"/>
      <c r="C229" s="514"/>
      <c r="D229" s="52"/>
      <c r="E229" s="17"/>
      <c r="F229" s="17"/>
      <c r="G229" s="17"/>
      <c r="H229" s="17"/>
      <c r="I229" s="18"/>
      <c r="J229" s="1"/>
      <c r="K229" s="650"/>
      <c r="L229" s="376"/>
      <c r="M229" s="26"/>
      <c r="N229" s="56"/>
      <c r="O229" s="318"/>
      <c r="P229" s="343">
        <v>1</v>
      </c>
      <c r="Q229" s="344">
        <v>1.5</v>
      </c>
      <c r="R229" s="345">
        <v>10</v>
      </c>
      <c r="S229" s="346">
        <f>Q229*R229</f>
        <v>15</v>
      </c>
      <c r="T229" s="347">
        <f>((R229*P229)*2)</f>
        <v>20</v>
      </c>
      <c r="U229" s="348">
        <f>S229+T229</f>
        <v>35</v>
      </c>
      <c r="V229" s="315"/>
      <c r="W229" s="1"/>
      <c r="X229" s="470"/>
      <c r="Y229" s="470"/>
      <c r="Z229" s="470"/>
      <c r="AA229" s="470"/>
      <c r="AB229" s="470"/>
      <c r="AC229" s="470"/>
      <c r="AD229" s="470"/>
      <c r="AE229" s="470"/>
      <c r="AF229" s="470"/>
      <c r="AG229" s="470"/>
      <c r="AH229" s="470"/>
      <c r="AI229" s="470"/>
      <c r="AJ229" s="470"/>
      <c r="AK229" s="470"/>
      <c r="AL229" s="470"/>
      <c r="AM229" s="470"/>
      <c r="AN229" s="470"/>
      <c r="AO229" s="470"/>
      <c r="AP229" s="470"/>
      <c r="AQ229" s="470"/>
      <c r="AR229" s="470"/>
      <c r="AS229" s="470"/>
      <c r="AT229" s="470"/>
      <c r="AU229" s="470"/>
      <c r="AV229" s="470"/>
      <c r="AW229" s="470"/>
      <c r="AX229" s="470"/>
      <c r="AY229" s="470"/>
      <c r="AZ229" s="470"/>
      <c r="BA229" s="470"/>
      <c r="BB229" s="470"/>
      <c r="BC229" s="470"/>
      <c r="BD229" s="470"/>
      <c r="BE229" s="470"/>
      <c r="BF229" s="470"/>
      <c r="BG229" s="470"/>
      <c r="BH229" s="470"/>
      <c r="BI229" s="470"/>
      <c r="BJ229" s="470"/>
      <c r="BK229" s="800"/>
      <c r="BL229" s="606"/>
      <c r="BM229" s="606"/>
      <c r="BN229" s="606"/>
      <c r="BO229" s="606"/>
      <c r="BP229" s="606"/>
      <c r="BQ229" s="606"/>
      <c r="BR229" s="606"/>
      <c r="BS229" s="606"/>
      <c r="BT229" s="606"/>
      <c r="BU229" s="606"/>
      <c r="BV229" s="606"/>
      <c r="BW229" s="606"/>
      <c r="BX229" s="606"/>
      <c r="BY229" s="606"/>
      <c r="BZ229" s="606"/>
      <c r="CA229" s="606"/>
      <c r="CB229" s="606"/>
      <c r="CC229" s="606"/>
      <c r="CD229" s="606"/>
      <c r="CE229" s="606"/>
      <c r="CF229" s="606"/>
      <c r="CG229" s="606"/>
      <c r="CH229" s="606"/>
      <c r="CI229" s="606"/>
      <c r="CJ229" s="606"/>
      <c r="CK229" s="606"/>
      <c r="CL229" s="606"/>
      <c r="CM229" s="606"/>
      <c r="CN229" s="606"/>
      <c r="CO229" s="606"/>
      <c r="CP229" s="606"/>
      <c r="CQ229" s="606"/>
      <c r="CR229" s="606"/>
      <c r="CS229" s="606"/>
      <c r="CT229" s="606"/>
      <c r="CU229" s="606"/>
      <c r="CV229" s="606"/>
      <c r="CW229" s="606"/>
      <c r="CX229" s="606"/>
      <c r="CY229" s="606"/>
      <c r="CZ229" s="606"/>
      <c r="DA229" s="606"/>
      <c r="DB229" s="606"/>
      <c r="DC229" s="606"/>
      <c r="DD229" s="606"/>
      <c r="DE229" s="606"/>
      <c r="DF229" s="606"/>
      <c r="DG229" s="606"/>
      <c r="DH229" s="606"/>
      <c r="DI229" s="606"/>
      <c r="DJ229" s="606"/>
      <c r="DK229" s="606"/>
      <c r="DL229" s="606"/>
      <c r="DM229" s="606"/>
      <c r="DN229" s="606"/>
      <c r="DO229" s="606"/>
      <c r="DP229" s="606"/>
      <c r="DQ229" s="606"/>
      <c r="DR229" s="606"/>
      <c r="DS229" s="606"/>
      <c r="DT229" s="606"/>
      <c r="DU229" s="606"/>
      <c r="DV229" s="606"/>
      <c r="DW229" s="606"/>
      <c r="DX229" s="606"/>
    </row>
    <row r="230" spans="1:128" ht="15.75" customHeight="1" x14ac:dyDescent="0.25">
      <c r="A230" s="1"/>
      <c r="B230" s="15"/>
      <c r="C230" s="969" t="s">
        <v>266</v>
      </c>
      <c r="D230" s="970"/>
      <c r="E230" s="637" t="s">
        <v>258</v>
      </c>
      <c r="F230" s="637" t="s">
        <v>266</v>
      </c>
      <c r="G230" s="969" t="s">
        <v>258</v>
      </c>
      <c r="H230" s="970"/>
      <c r="I230" s="18"/>
      <c r="J230" s="1"/>
      <c r="K230" s="650"/>
      <c r="L230" s="755"/>
      <c r="M230" s="752"/>
      <c r="N230" s="751"/>
      <c r="O230" s="793"/>
      <c r="P230" s="338"/>
      <c r="Q230" s="339"/>
      <c r="R230" s="339"/>
      <c r="S230" s="339"/>
      <c r="T230" s="339"/>
      <c r="U230" s="794"/>
      <c r="V230" s="315"/>
      <c r="W230" s="1"/>
      <c r="X230" s="470"/>
      <c r="Y230" s="470"/>
      <c r="Z230" s="470"/>
      <c r="AA230" s="470"/>
      <c r="AB230" s="470"/>
      <c r="AC230" s="470"/>
      <c r="AD230" s="470"/>
      <c r="AE230" s="470"/>
      <c r="AF230" s="470"/>
      <c r="AG230" s="470"/>
      <c r="AH230" s="470"/>
      <c r="AI230" s="470"/>
      <c r="AJ230" s="470"/>
      <c r="AK230" s="470"/>
      <c r="AL230" s="470"/>
      <c r="AM230" s="470"/>
      <c r="AN230" s="470"/>
      <c r="AO230" s="470"/>
      <c r="AP230" s="470"/>
      <c r="AQ230" s="470"/>
      <c r="AR230" s="470"/>
      <c r="AS230" s="470"/>
      <c r="AT230" s="470"/>
      <c r="AU230" s="470"/>
      <c r="AV230" s="470"/>
      <c r="AW230" s="470"/>
      <c r="AX230" s="470"/>
      <c r="AY230" s="470"/>
      <c r="AZ230" s="470"/>
      <c r="BA230" s="470"/>
      <c r="BB230" s="470"/>
      <c r="BC230" s="470"/>
      <c r="BD230" s="470"/>
      <c r="BE230" s="470"/>
      <c r="BF230" s="470"/>
      <c r="BG230" s="470"/>
      <c r="BH230" s="470"/>
      <c r="BI230" s="470"/>
      <c r="BJ230" s="470"/>
      <c r="BK230" s="800"/>
      <c r="BL230" s="606"/>
      <c r="BM230" s="606"/>
      <c r="BN230" s="606"/>
      <c r="BO230" s="805"/>
      <c r="BP230" s="606"/>
      <c r="BQ230" s="606"/>
      <c r="BR230" s="606"/>
      <c r="BS230" s="606"/>
      <c r="BT230" s="606"/>
      <c r="BU230" s="606"/>
      <c r="BV230" s="606"/>
      <c r="BW230" s="606"/>
      <c r="BX230" s="606"/>
      <c r="BY230" s="606"/>
      <c r="BZ230" s="606"/>
      <c r="CA230" s="606"/>
      <c r="CB230" s="606"/>
      <c r="CC230" s="606"/>
      <c r="CD230" s="606"/>
      <c r="CE230" s="606"/>
      <c r="CF230" s="606"/>
      <c r="CG230" s="606"/>
      <c r="CH230" s="606"/>
      <c r="CI230" s="606"/>
      <c r="CJ230" s="606"/>
      <c r="CK230" s="606"/>
      <c r="CL230" s="606"/>
      <c r="CM230" s="606"/>
      <c r="CN230" s="606"/>
      <c r="CO230" s="606"/>
      <c r="CP230" s="606"/>
      <c r="CQ230" s="606"/>
      <c r="CR230" s="606"/>
      <c r="CS230" s="606"/>
      <c r="CT230" s="606"/>
      <c r="CU230" s="606"/>
      <c r="CV230" s="606"/>
      <c r="CW230" s="606"/>
      <c r="CX230" s="606"/>
      <c r="CY230" s="606"/>
      <c r="CZ230" s="606"/>
      <c r="DA230" s="606"/>
      <c r="DB230" s="606"/>
      <c r="DC230" s="606"/>
      <c r="DD230" s="606"/>
      <c r="DE230" s="606"/>
      <c r="DF230" s="606"/>
      <c r="DG230" s="606"/>
      <c r="DH230" s="606"/>
      <c r="DI230" s="606"/>
      <c r="DJ230" s="606"/>
      <c r="DK230" s="606"/>
      <c r="DL230" s="606"/>
      <c r="DM230" s="606"/>
      <c r="DN230" s="606"/>
      <c r="DO230" s="606"/>
      <c r="DP230" s="606"/>
      <c r="DQ230" s="606"/>
      <c r="DR230" s="606"/>
      <c r="DS230" s="606"/>
      <c r="DT230" s="606"/>
      <c r="DU230" s="606"/>
      <c r="DV230" s="606"/>
      <c r="DW230" s="606"/>
      <c r="DX230" s="606"/>
    </row>
    <row r="231" spans="1:128" ht="15.75" customHeight="1" x14ac:dyDescent="0.25">
      <c r="A231" s="1"/>
      <c r="B231" s="15"/>
      <c r="C231" s="971" t="s">
        <v>267</v>
      </c>
      <c r="D231" s="972"/>
      <c r="E231" s="638" t="s">
        <v>256</v>
      </c>
      <c r="F231" s="638" t="s">
        <v>267</v>
      </c>
      <c r="G231" s="971" t="s">
        <v>256</v>
      </c>
      <c r="H231" s="972"/>
      <c r="I231" s="18"/>
      <c r="J231" s="1"/>
      <c r="K231" s="325"/>
      <c r="L231" s="376" t="s">
        <v>48</v>
      </c>
      <c r="M231" s="376" t="s">
        <v>137</v>
      </c>
      <c r="N231" s="376"/>
      <c r="O231" s="376"/>
      <c r="P231" s="326"/>
      <c r="Q231" s="56"/>
      <c r="R231" s="326"/>
      <c r="S231" s="326"/>
      <c r="T231" s="326"/>
      <c r="U231" s="323"/>
      <c r="V231" s="315"/>
      <c r="W231" s="1"/>
      <c r="X231" s="470"/>
      <c r="Y231" s="470"/>
      <c r="Z231" s="470"/>
      <c r="AA231" s="470"/>
      <c r="AB231" s="470"/>
      <c r="AC231" s="470"/>
      <c r="AD231" s="470"/>
      <c r="AE231" s="470"/>
      <c r="AF231" s="470"/>
      <c r="AG231" s="470"/>
      <c r="AH231" s="470"/>
      <c r="AI231" s="470"/>
      <c r="AJ231" s="470"/>
      <c r="AK231" s="470"/>
      <c r="AL231" s="470"/>
      <c r="AM231" s="470"/>
      <c r="AN231" s="470"/>
      <c r="AO231" s="470"/>
      <c r="AP231" s="470"/>
      <c r="AQ231" s="470"/>
      <c r="AR231" s="470"/>
      <c r="AS231" s="470"/>
      <c r="AT231" s="470"/>
      <c r="AU231" s="470"/>
      <c r="AV231" s="470"/>
      <c r="AW231" s="470"/>
      <c r="AX231" s="470"/>
      <c r="AY231" s="470"/>
      <c r="AZ231" s="470"/>
      <c r="BA231" s="470"/>
      <c r="BB231" s="470"/>
      <c r="BC231" s="470"/>
      <c r="BD231" s="470"/>
      <c r="BE231" s="470"/>
      <c r="BF231" s="470"/>
      <c r="BG231" s="470"/>
      <c r="BH231" s="470"/>
      <c r="BI231" s="470"/>
      <c r="BJ231" s="470"/>
      <c r="BK231" s="606"/>
      <c r="BL231" s="606"/>
      <c r="BM231" s="606"/>
      <c r="BN231" s="606"/>
      <c r="BO231" s="606"/>
      <c r="BP231" s="606"/>
      <c r="BQ231" s="606"/>
      <c r="BR231" s="606"/>
      <c r="BS231" s="606"/>
      <c r="BT231" s="606"/>
      <c r="BU231" s="606"/>
      <c r="BV231" s="606"/>
      <c r="BW231" s="606"/>
      <c r="BX231" s="606"/>
      <c r="BY231" s="606"/>
      <c r="BZ231" s="606"/>
      <c r="CA231" s="606"/>
      <c r="CB231" s="606"/>
      <c r="CC231" s="606"/>
      <c r="CD231" s="606"/>
      <c r="CE231" s="606"/>
      <c r="CF231" s="606"/>
      <c r="CG231" s="606"/>
      <c r="CH231" s="606"/>
      <c r="CI231" s="606"/>
      <c r="CJ231" s="606"/>
      <c r="CK231" s="606"/>
      <c r="CL231" s="606"/>
      <c r="CM231" s="606"/>
      <c r="CN231" s="606"/>
      <c r="CO231" s="606"/>
      <c r="CP231" s="606"/>
      <c r="CQ231" s="606"/>
      <c r="CR231" s="606"/>
      <c r="CS231" s="606"/>
      <c r="CT231" s="606"/>
      <c r="CU231" s="606"/>
      <c r="CV231" s="606"/>
      <c r="CW231" s="606"/>
      <c r="CX231" s="606"/>
      <c r="CY231" s="606"/>
      <c r="CZ231" s="606"/>
      <c r="DA231" s="606"/>
      <c r="DB231" s="606"/>
      <c r="DC231" s="606"/>
      <c r="DD231" s="606"/>
      <c r="DE231" s="606"/>
      <c r="DF231" s="606"/>
      <c r="DG231" s="606"/>
      <c r="DH231" s="606"/>
      <c r="DI231" s="606"/>
      <c r="DJ231" s="606"/>
      <c r="DK231" s="606"/>
      <c r="DL231" s="606"/>
      <c r="DM231" s="606"/>
      <c r="DN231" s="606"/>
      <c r="DO231" s="606"/>
      <c r="DP231" s="606"/>
      <c r="DQ231" s="606"/>
      <c r="DR231" s="606"/>
      <c r="DS231" s="606"/>
      <c r="DT231" s="606"/>
      <c r="DU231" s="606"/>
      <c r="DV231" s="606"/>
      <c r="DW231" s="606"/>
      <c r="DX231" s="606"/>
    </row>
    <row r="232" spans="1:128" ht="15.75" customHeight="1" thickBot="1" x14ac:dyDescent="0.3">
      <c r="A232" s="1"/>
      <c r="B232" s="15"/>
      <c r="C232" s="961" t="s">
        <v>255</v>
      </c>
      <c r="D232" s="962"/>
      <c r="E232" s="639" t="s">
        <v>257</v>
      </c>
      <c r="F232" s="639" t="s">
        <v>255</v>
      </c>
      <c r="G232" s="961" t="s">
        <v>257</v>
      </c>
      <c r="H232" s="962"/>
      <c r="I232" s="18"/>
      <c r="J232" s="1"/>
      <c r="K232" s="650"/>
      <c r="L232" s="376"/>
      <c r="M232" s="26"/>
      <c r="N232" s="26"/>
      <c r="O232" s="26"/>
      <c r="P232" s="26"/>
      <c r="Q232" s="26"/>
      <c r="R232" s="26"/>
      <c r="S232" s="26"/>
      <c r="T232" s="26"/>
      <c r="U232" s="371"/>
      <c r="V232" s="315"/>
      <c r="W232" s="1"/>
      <c r="X232" s="470"/>
      <c r="Y232" s="470"/>
      <c r="Z232" s="470"/>
      <c r="AA232" s="470"/>
      <c r="AB232" s="470"/>
      <c r="AC232" s="470"/>
      <c r="AD232" s="470"/>
      <c r="AE232" s="470"/>
      <c r="AF232" s="470"/>
      <c r="AG232" s="470"/>
      <c r="AH232" s="470"/>
      <c r="AI232" s="470"/>
      <c r="AJ232" s="470"/>
      <c r="AK232" s="470"/>
      <c r="AL232" s="470"/>
      <c r="AM232" s="470"/>
      <c r="AN232" s="470"/>
      <c r="AO232" s="470"/>
      <c r="AP232" s="470"/>
      <c r="AQ232" s="470"/>
      <c r="AR232" s="470"/>
      <c r="AS232" s="470"/>
      <c r="AT232" s="470"/>
      <c r="AU232" s="470"/>
      <c r="AV232" s="470"/>
      <c r="AW232" s="470"/>
      <c r="AX232" s="470"/>
      <c r="AY232" s="470"/>
      <c r="AZ232" s="470"/>
      <c r="BA232" s="470"/>
      <c r="BB232" s="470"/>
      <c r="BC232" s="470"/>
      <c r="BD232" s="470"/>
      <c r="BE232" s="470"/>
      <c r="BF232" s="470"/>
      <c r="BG232" s="470"/>
      <c r="BH232" s="470"/>
      <c r="BI232" s="470"/>
      <c r="BJ232" s="470"/>
      <c r="BK232" s="800"/>
      <c r="BL232" s="606"/>
      <c r="BM232" s="606"/>
      <c r="BN232" s="606"/>
      <c r="BO232" s="606"/>
      <c r="BP232" s="606"/>
      <c r="BQ232" s="606"/>
      <c r="BR232" s="606"/>
      <c r="BS232" s="606"/>
      <c r="BT232" s="606"/>
      <c r="BU232" s="606"/>
      <c r="BV232" s="606"/>
      <c r="BW232" s="606"/>
      <c r="BX232" s="606"/>
      <c r="BY232" s="606"/>
      <c r="BZ232" s="606"/>
      <c r="CA232" s="606"/>
      <c r="CB232" s="606"/>
      <c r="CC232" s="606"/>
      <c r="CD232" s="606"/>
      <c r="CE232" s="606"/>
      <c r="CF232" s="606"/>
      <c r="CG232" s="606"/>
      <c r="CH232" s="606"/>
      <c r="CI232" s="606"/>
      <c r="CJ232" s="606"/>
      <c r="CK232" s="606"/>
      <c r="CL232" s="606"/>
      <c r="CM232" s="606"/>
      <c r="CN232" s="606"/>
      <c r="CO232" s="606"/>
      <c r="CP232" s="606"/>
      <c r="CQ232" s="606"/>
      <c r="CR232" s="606"/>
      <c r="CS232" s="606"/>
      <c r="CT232" s="606"/>
      <c r="CU232" s="606"/>
      <c r="CV232" s="606"/>
      <c r="CW232" s="606"/>
      <c r="CX232" s="606"/>
      <c r="CY232" s="606"/>
      <c r="CZ232" s="606"/>
      <c r="DA232" s="606"/>
      <c r="DB232" s="606"/>
      <c r="DC232" s="606"/>
      <c r="DD232" s="606"/>
      <c r="DE232" s="606"/>
      <c r="DF232" s="606"/>
      <c r="DG232" s="606"/>
      <c r="DH232" s="606"/>
      <c r="DI232" s="606"/>
      <c r="DJ232" s="606"/>
      <c r="DK232" s="606"/>
      <c r="DL232" s="606"/>
      <c r="DM232" s="606"/>
      <c r="DN232" s="606"/>
      <c r="DO232" s="606"/>
      <c r="DP232" s="606"/>
      <c r="DQ232" s="606"/>
      <c r="DR232" s="606"/>
      <c r="DS232" s="606"/>
      <c r="DT232" s="606"/>
      <c r="DU232" s="606"/>
      <c r="DV232" s="606"/>
      <c r="DW232" s="606"/>
      <c r="DX232" s="606"/>
    </row>
    <row r="233" spans="1:128" ht="15.75" customHeight="1" thickBot="1" x14ac:dyDescent="0.3">
      <c r="A233" s="1"/>
      <c r="B233" s="15"/>
      <c r="C233" s="969" t="s">
        <v>259</v>
      </c>
      <c r="D233" s="970"/>
      <c r="E233" s="644">
        <v>0.2</v>
      </c>
      <c r="F233" s="713">
        <v>400</v>
      </c>
      <c r="G233" s="963">
        <v>6.5000000000000002E-2</v>
      </c>
      <c r="H233" s="964"/>
      <c r="I233" s="18"/>
      <c r="J233" s="1"/>
      <c r="K233" s="650"/>
      <c r="L233" s="376"/>
      <c r="M233" s="376"/>
      <c r="N233" s="376"/>
      <c r="O233" s="376" t="s">
        <v>407</v>
      </c>
      <c r="P233" s="376"/>
      <c r="Q233" s="376"/>
      <c r="R233" s="376"/>
      <c r="S233" s="328">
        <v>3</v>
      </c>
      <c r="T233" s="376"/>
      <c r="U233" s="486"/>
      <c r="V233" s="315"/>
      <c r="W233" s="1"/>
      <c r="X233" s="470"/>
      <c r="Y233" s="470"/>
      <c r="Z233" s="470"/>
      <c r="AA233" s="470"/>
      <c r="AB233" s="470"/>
      <c r="AC233" s="470"/>
      <c r="AD233" s="470"/>
      <c r="AE233" s="470"/>
      <c r="AF233" s="470"/>
      <c r="AG233" s="470"/>
      <c r="AH233" s="470"/>
      <c r="AI233" s="470"/>
      <c r="AJ233" s="470"/>
      <c r="AK233" s="470"/>
      <c r="AL233" s="470"/>
      <c r="AM233" s="470"/>
      <c r="AN233" s="470"/>
      <c r="AO233" s="470"/>
      <c r="AP233" s="470"/>
      <c r="AQ233" s="470"/>
      <c r="AR233" s="470"/>
      <c r="AS233" s="470"/>
      <c r="AT233" s="470"/>
      <c r="AU233" s="470"/>
      <c r="AV233" s="470"/>
      <c r="AW233" s="470"/>
      <c r="AX233" s="470"/>
      <c r="AY233" s="470"/>
      <c r="AZ233" s="470"/>
      <c r="BA233" s="470"/>
      <c r="BB233" s="470"/>
      <c r="BC233" s="470"/>
      <c r="BD233" s="470"/>
      <c r="BE233" s="470"/>
      <c r="BF233" s="470"/>
      <c r="BG233" s="470"/>
      <c r="BH233" s="470"/>
      <c r="BI233" s="470"/>
      <c r="BJ233" s="470"/>
      <c r="BK233" s="800"/>
      <c r="BL233" s="606"/>
      <c r="BM233" s="606"/>
      <c r="BN233" s="606"/>
      <c r="BO233" s="606"/>
      <c r="BP233" s="606"/>
      <c r="BQ233" s="606"/>
      <c r="BR233" s="606"/>
      <c r="BS233" s="606"/>
      <c r="BT233" s="606"/>
      <c r="BU233" s="606"/>
      <c r="BV233" s="606"/>
      <c r="BW233" s="606"/>
      <c r="BX233" s="606"/>
      <c r="BY233" s="606"/>
      <c r="BZ233" s="606"/>
      <c r="CA233" s="606"/>
      <c r="CB233" s="606"/>
      <c r="CC233" s="606"/>
      <c r="CD233" s="606"/>
      <c r="CE233" s="606"/>
      <c r="CF233" s="606"/>
      <c r="CG233" s="606"/>
      <c r="CH233" s="606"/>
      <c r="CI233" s="606"/>
      <c r="CJ233" s="606"/>
      <c r="CK233" s="606"/>
      <c r="CL233" s="606"/>
      <c r="CM233" s="606"/>
      <c r="CN233" s="606"/>
      <c r="CO233" s="606"/>
      <c r="CP233" s="606"/>
      <c r="CQ233" s="606"/>
      <c r="CR233" s="606"/>
      <c r="CS233" s="606"/>
      <c r="CT233" s="606"/>
      <c r="CU233" s="606"/>
      <c r="CV233" s="606"/>
      <c r="CW233" s="606"/>
      <c r="CX233" s="606"/>
      <c r="CY233" s="606"/>
      <c r="CZ233" s="606"/>
      <c r="DA233" s="606"/>
      <c r="DB233" s="606"/>
      <c r="DC233" s="606"/>
      <c r="DD233" s="606"/>
      <c r="DE233" s="606"/>
      <c r="DF233" s="606"/>
      <c r="DG233" s="606"/>
      <c r="DH233" s="606"/>
      <c r="DI233" s="606"/>
      <c r="DJ233" s="606"/>
      <c r="DK233" s="606"/>
      <c r="DL233" s="606"/>
      <c r="DM233" s="606"/>
      <c r="DN233" s="606"/>
      <c r="DO233" s="606"/>
      <c r="DP233" s="606"/>
      <c r="DQ233" s="606"/>
      <c r="DR233" s="606"/>
      <c r="DS233" s="606"/>
      <c r="DT233" s="606"/>
      <c r="DU233" s="606"/>
      <c r="DV233" s="606"/>
      <c r="DW233" s="606"/>
      <c r="DX233" s="606"/>
    </row>
    <row r="234" spans="1:128" ht="15.75" customHeight="1" thickBot="1" x14ac:dyDescent="0.3">
      <c r="A234" s="1"/>
      <c r="B234" s="15"/>
      <c r="C234" s="971">
        <v>80</v>
      </c>
      <c r="D234" s="972"/>
      <c r="E234" s="638">
        <v>0.14000000000000001</v>
      </c>
      <c r="F234" s="713">
        <v>600</v>
      </c>
      <c r="G234" s="965">
        <v>5.2999999999999999E-2</v>
      </c>
      <c r="H234" s="966"/>
      <c r="I234" s="18"/>
      <c r="J234" s="1"/>
      <c r="K234" s="650"/>
      <c r="L234" s="376"/>
      <c r="M234" s="26"/>
      <c r="N234" s="26"/>
      <c r="O234" s="26"/>
      <c r="P234" s="26"/>
      <c r="Q234" s="26"/>
      <c r="R234" s="358"/>
      <c r="S234" s="329"/>
      <c r="T234" s="358"/>
      <c r="U234" s="486"/>
      <c r="V234" s="315"/>
      <c r="W234" s="1"/>
      <c r="X234" s="470"/>
      <c r="Y234" s="470"/>
      <c r="Z234" s="470"/>
      <c r="AA234" s="470"/>
      <c r="AB234" s="470"/>
      <c r="AC234" s="470"/>
      <c r="AD234" s="470"/>
      <c r="AE234" s="470"/>
      <c r="AF234" s="470"/>
      <c r="AG234" s="470"/>
      <c r="AH234" s="470"/>
      <c r="AI234" s="470"/>
      <c r="AJ234" s="470"/>
      <c r="AK234" s="470"/>
      <c r="AL234" s="470"/>
      <c r="AM234" s="470"/>
      <c r="AN234" s="470"/>
      <c r="AO234" s="470"/>
      <c r="AP234" s="470"/>
      <c r="AQ234" s="470"/>
      <c r="AR234" s="470"/>
      <c r="AS234" s="470"/>
      <c r="AT234" s="470"/>
      <c r="AU234" s="470"/>
      <c r="AV234" s="470"/>
      <c r="AW234" s="470"/>
      <c r="AX234" s="470"/>
      <c r="AY234" s="470"/>
      <c r="AZ234" s="470"/>
      <c r="BA234" s="470"/>
      <c r="BB234" s="470"/>
      <c r="BC234" s="470"/>
      <c r="BD234" s="470"/>
      <c r="BE234" s="470"/>
      <c r="BF234" s="470"/>
      <c r="BG234" s="470"/>
      <c r="BH234" s="470"/>
      <c r="BI234" s="470"/>
      <c r="BJ234" s="470"/>
      <c r="BK234" s="800"/>
      <c r="BL234" s="606"/>
      <c r="BM234" s="606"/>
      <c r="BN234" s="606"/>
      <c r="BO234" s="606"/>
      <c r="BP234" s="606"/>
      <c r="BQ234" s="606"/>
      <c r="BR234" s="606"/>
      <c r="BS234" s="606"/>
      <c r="BT234" s="606"/>
      <c r="BU234" s="606"/>
      <c r="BV234" s="606"/>
      <c r="BW234" s="606"/>
      <c r="BX234" s="606"/>
      <c r="BY234" s="606"/>
      <c r="BZ234" s="606"/>
      <c r="CA234" s="606"/>
      <c r="CB234" s="606"/>
      <c r="CC234" s="606"/>
      <c r="CD234" s="606"/>
      <c r="CE234" s="606"/>
      <c r="CF234" s="606"/>
      <c r="CG234" s="606"/>
      <c r="CH234" s="606"/>
      <c r="CI234" s="606"/>
      <c r="CJ234" s="606"/>
      <c r="CK234" s="606"/>
      <c r="CL234" s="606"/>
      <c r="CM234" s="606"/>
      <c r="CN234" s="606"/>
      <c r="CO234" s="606"/>
      <c r="CP234" s="606"/>
      <c r="CQ234" s="606"/>
      <c r="CR234" s="606"/>
      <c r="CS234" s="606"/>
      <c r="CT234" s="606"/>
      <c r="CU234" s="606"/>
      <c r="CV234" s="606"/>
      <c r="CW234" s="606"/>
      <c r="CX234" s="606"/>
      <c r="CY234" s="606"/>
      <c r="CZ234" s="606"/>
      <c r="DA234" s="606"/>
      <c r="DB234" s="606"/>
      <c r="DC234" s="606"/>
      <c r="DD234" s="606"/>
      <c r="DE234" s="606"/>
      <c r="DF234" s="606"/>
      <c r="DG234" s="606"/>
      <c r="DH234" s="606"/>
      <c r="DI234" s="606"/>
      <c r="DJ234" s="606"/>
      <c r="DK234" s="606"/>
      <c r="DL234" s="606"/>
      <c r="DM234" s="606"/>
      <c r="DN234" s="606"/>
      <c r="DO234" s="606"/>
      <c r="DP234" s="606"/>
      <c r="DQ234" s="606"/>
      <c r="DR234" s="606"/>
      <c r="DS234" s="606"/>
      <c r="DT234" s="606"/>
      <c r="DU234" s="606"/>
      <c r="DV234" s="606"/>
      <c r="DW234" s="606"/>
      <c r="DX234" s="606"/>
    </row>
    <row r="235" spans="1:128" ht="15.75" customHeight="1" thickBot="1" x14ac:dyDescent="0.3">
      <c r="A235" s="1"/>
      <c r="B235" s="15"/>
      <c r="C235" s="971">
        <v>120</v>
      </c>
      <c r="D235" s="972"/>
      <c r="E235" s="638">
        <v>0.12</v>
      </c>
      <c r="F235" s="713">
        <v>1200</v>
      </c>
      <c r="G235" s="965">
        <v>3.6999999999999998E-2</v>
      </c>
      <c r="H235" s="966"/>
      <c r="I235" s="18"/>
      <c r="J235" s="1"/>
      <c r="K235" s="650"/>
      <c r="L235" s="376"/>
      <c r="M235" s="376"/>
      <c r="N235" s="376"/>
      <c r="O235" s="376" t="s">
        <v>146</v>
      </c>
      <c r="P235" s="26"/>
      <c r="Q235" s="26"/>
      <c r="R235" s="358"/>
      <c r="S235" s="328">
        <v>3</v>
      </c>
      <c r="T235" s="35"/>
      <c r="U235" s="486"/>
      <c r="V235" s="315"/>
      <c r="W235" s="1"/>
      <c r="X235" s="470"/>
      <c r="Y235" s="470"/>
      <c r="Z235" s="470"/>
      <c r="AA235" s="470"/>
      <c r="AB235" s="470"/>
      <c r="AC235" s="470"/>
      <c r="AD235" s="470"/>
      <c r="AE235" s="470"/>
      <c r="AF235" s="470"/>
      <c r="AG235" s="470"/>
      <c r="AH235" s="470"/>
      <c r="AI235" s="470"/>
      <c r="AJ235" s="470"/>
      <c r="AK235" s="470"/>
      <c r="AL235" s="470"/>
      <c r="AM235" s="470"/>
      <c r="AN235" s="470"/>
      <c r="AO235" s="470"/>
      <c r="AP235" s="470"/>
      <c r="AQ235" s="470"/>
      <c r="AR235" s="470"/>
      <c r="AS235" s="470"/>
      <c r="AT235" s="470"/>
      <c r="AU235" s="470"/>
      <c r="AV235" s="470"/>
      <c r="AW235" s="470"/>
      <c r="AX235" s="470"/>
      <c r="AY235" s="470"/>
      <c r="AZ235" s="470"/>
      <c r="BA235" s="470"/>
      <c r="BB235" s="470"/>
      <c r="BC235" s="470"/>
      <c r="BD235" s="470"/>
      <c r="BE235" s="470"/>
      <c r="BF235" s="470"/>
      <c r="BG235" s="470"/>
      <c r="BH235" s="470"/>
      <c r="BI235" s="470"/>
      <c r="BJ235" s="470"/>
      <c r="BK235" s="800"/>
      <c r="BL235" s="606"/>
      <c r="BM235" s="606"/>
      <c r="BN235" s="606"/>
      <c r="BO235" s="606"/>
      <c r="BP235" s="606"/>
      <c r="BQ235" s="606"/>
      <c r="BR235" s="606"/>
      <c r="BS235" s="606"/>
      <c r="BT235" s="606"/>
      <c r="BU235" s="606"/>
      <c r="BV235" s="606"/>
      <c r="BW235" s="606"/>
      <c r="BX235" s="606"/>
      <c r="BY235" s="606"/>
      <c r="BZ235" s="606"/>
      <c r="CA235" s="606"/>
      <c r="CB235" s="606"/>
      <c r="CC235" s="606"/>
      <c r="CD235" s="606"/>
      <c r="CE235" s="606"/>
      <c r="CF235" s="606"/>
      <c r="CG235" s="606"/>
      <c r="CH235" s="606"/>
      <c r="CI235" s="606"/>
      <c r="CJ235" s="606"/>
      <c r="CK235" s="606"/>
      <c r="CL235" s="606"/>
      <c r="CM235" s="606"/>
      <c r="CN235" s="606"/>
      <c r="CO235" s="606"/>
      <c r="CP235" s="606"/>
      <c r="CQ235" s="606"/>
      <c r="CR235" s="606"/>
      <c r="CS235" s="606"/>
      <c r="CT235" s="606"/>
      <c r="CU235" s="606"/>
      <c r="CV235" s="606"/>
      <c r="CW235" s="606"/>
      <c r="CX235" s="606"/>
      <c r="CY235" s="606"/>
      <c r="CZ235" s="606"/>
      <c r="DA235" s="606"/>
      <c r="DB235" s="606"/>
      <c r="DC235" s="606"/>
      <c r="DD235" s="606"/>
      <c r="DE235" s="606"/>
      <c r="DF235" s="606"/>
      <c r="DG235" s="606"/>
      <c r="DH235" s="606"/>
      <c r="DI235" s="606"/>
      <c r="DJ235" s="606"/>
      <c r="DK235" s="606"/>
      <c r="DL235" s="606"/>
      <c r="DM235" s="606"/>
      <c r="DN235" s="606"/>
      <c r="DO235" s="606"/>
      <c r="DP235" s="606"/>
      <c r="DQ235" s="606"/>
      <c r="DR235" s="606"/>
      <c r="DS235" s="606"/>
      <c r="DT235" s="606"/>
      <c r="DU235" s="606"/>
      <c r="DV235" s="606"/>
      <c r="DW235" s="606"/>
      <c r="DX235" s="606"/>
    </row>
    <row r="236" spans="1:128" ht="15.75" customHeight="1" thickBot="1" x14ac:dyDescent="0.3">
      <c r="A236" s="1"/>
      <c r="B236" s="15"/>
      <c r="C236" s="971">
        <v>160</v>
      </c>
      <c r="D236" s="972"/>
      <c r="E236" s="644">
        <v>0.1</v>
      </c>
      <c r="F236" s="713">
        <v>1400</v>
      </c>
      <c r="G236" s="965">
        <v>3.2000000000000001E-2</v>
      </c>
      <c r="H236" s="966"/>
      <c r="I236" s="18"/>
      <c r="J236" s="1"/>
      <c r="K236" s="650"/>
      <c r="L236" s="376"/>
      <c r="M236" s="26"/>
      <c r="N236" s="26"/>
      <c r="O236" s="26"/>
      <c r="P236" s="26"/>
      <c r="Q236" s="26"/>
      <c r="R236" s="358"/>
      <c r="S236" s="329"/>
      <c r="T236" s="358"/>
      <c r="U236" s="486"/>
      <c r="V236" s="315"/>
      <c r="W236" s="1"/>
      <c r="X236" s="470"/>
      <c r="Y236" s="470"/>
      <c r="Z236" s="470"/>
      <c r="AA236" s="470"/>
      <c r="AB236" s="470"/>
      <c r="AC236" s="470"/>
      <c r="AD236" s="470"/>
      <c r="AE236" s="470"/>
      <c r="AF236" s="470"/>
      <c r="AG236" s="470"/>
      <c r="AH236" s="470"/>
      <c r="AI236" s="470"/>
      <c r="AJ236" s="470"/>
      <c r="AK236" s="470"/>
      <c r="AL236" s="470"/>
      <c r="AM236" s="470"/>
      <c r="AN236" s="470"/>
      <c r="AO236" s="470"/>
      <c r="AP236" s="470"/>
      <c r="AQ236" s="470"/>
      <c r="AR236" s="470"/>
      <c r="AS236" s="470"/>
      <c r="AT236" s="470"/>
      <c r="AU236" s="470"/>
      <c r="AV236" s="470"/>
      <c r="AW236" s="470"/>
      <c r="AX236" s="470"/>
      <c r="AY236" s="470"/>
      <c r="AZ236" s="470"/>
      <c r="BA236" s="470"/>
      <c r="BB236" s="470"/>
      <c r="BC236" s="470"/>
      <c r="BD236" s="470"/>
      <c r="BE236" s="470"/>
      <c r="BF236" s="470"/>
      <c r="BG236" s="470"/>
      <c r="BH236" s="470"/>
      <c r="BI236" s="470"/>
      <c r="BJ236" s="470"/>
      <c r="BK236" s="800"/>
      <c r="BL236" s="606"/>
      <c r="BM236" s="606"/>
      <c r="BP236" s="606"/>
      <c r="BQ236" s="606"/>
      <c r="BR236" s="606"/>
      <c r="BT236" s="606"/>
      <c r="BU236" s="606"/>
      <c r="BV236" s="606"/>
      <c r="BW236" s="606"/>
      <c r="BX236" s="606"/>
      <c r="BY236" s="606"/>
      <c r="BZ236" s="606"/>
      <c r="CA236" s="606"/>
      <c r="CB236" s="606"/>
      <c r="CC236" s="606"/>
      <c r="CD236" s="606"/>
      <c r="CE236" s="606"/>
      <c r="CF236" s="606"/>
      <c r="CG236" s="606"/>
      <c r="CH236" s="606"/>
      <c r="CI236" s="606"/>
      <c r="CJ236" s="606"/>
      <c r="CK236" s="606"/>
      <c r="CL236" s="606"/>
      <c r="CM236" s="606"/>
      <c r="CN236" s="606"/>
      <c r="CO236" s="606"/>
      <c r="CP236" s="606"/>
      <c r="CQ236" s="606"/>
      <c r="CR236" s="606"/>
      <c r="CS236" s="606"/>
      <c r="CT236" s="606"/>
      <c r="CU236" s="606"/>
      <c r="CV236" s="606"/>
      <c r="CW236" s="606"/>
      <c r="CX236" s="606"/>
      <c r="CY236" s="606"/>
      <c r="CZ236" s="606"/>
      <c r="DA236" s="606"/>
      <c r="DB236" s="606"/>
      <c r="DC236" s="606"/>
      <c r="DD236" s="606"/>
      <c r="DE236" s="606"/>
      <c r="DF236" s="606"/>
      <c r="DG236" s="606"/>
      <c r="DH236" s="606"/>
      <c r="DI236" s="606"/>
      <c r="DJ236" s="606"/>
      <c r="DK236" s="606"/>
      <c r="DL236" s="606"/>
      <c r="DM236" s="606"/>
      <c r="DN236" s="606"/>
      <c r="DO236" s="606"/>
      <c r="DP236" s="606"/>
      <c r="DQ236" s="606"/>
      <c r="DR236" s="606"/>
      <c r="DS236" s="606"/>
      <c r="DT236" s="606"/>
      <c r="DU236" s="606"/>
      <c r="DV236" s="606"/>
      <c r="DW236" s="606"/>
      <c r="DX236" s="606"/>
    </row>
    <row r="237" spans="1:128" ht="15.75" customHeight="1" thickBot="1" x14ac:dyDescent="0.3">
      <c r="A237" s="1"/>
      <c r="B237" s="15"/>
      <c r="C237" s="967">
        <v>200</v>
      </c>
      <c r="D237" s="968"/>
      <c r="E237" s="635">
        <v>0.09</v>
      </c>
      <c r="F237" s="710">
        <v>2400</v>
      </c>
      <c r="G237" s="967">
        <v>1.4E-2</v>
      </c>
      <c r="H237" s="968"/>
      <c r="I237" s="18"/>
      <c r="J237" s="1"/>
      <c r="K237" s="650"/>
      <c r="L237" s="376"/>
      <c r="M237" s="376"/>
      <c r="N237" s="376"/>
      <c r="O237" s="26" t="s">
        <v>147</v>
      </c>
      <c r="P237" s="26"/>
      <c r="Q237" s="26"/>
      <c r="R237" s="358"/>
      <c r="S237" s="113">
        <f>S233+S235</f>
        <v>6</v>
      </c>
      <c r="T237" s="35"/>
      <c r="U237" s="486"/>
      <c r="V237" s="315"/>
      <c r="W237" s="1"/>
      <c r="X237" s="470"/>
      <c r="Y237" s="470"/>
      <c r="Z237" s="470"/>
      <c r="AA237" s="470"/>
      <c r="AB237" s="470"/>
      <c r="AC237" s="470"/>
      <c r="AD237" s="470"/>
      <c r="AE237" s="470"/>
      <c r="AF237" s="470"/>
      <c r="AG237" s="470"/>
      <c r="AH237" s="470"/>
      <c r="AI237" s="470"/>
      <c r="AJ237" s="470"/>
      <c r="AK237" s="470"/>
      <c r="AL237" s="470"/>
      <c r="AM237" s="470"/>
      <c r="AN237" s="470"/>
      <c r="AO237" s="470"/>
      <c r="AP237" s="470"/>
      <c r="AQ237" s="470"/>
      <c r="AR237" s="470"/>
      <c r="AS237" s="470"/>
      <c r="AT237" s="470"/>
      <c r="AU237" s="470"/>
      <c r="AV237" s="470"/>
      <c r="AW237" s="470"/>
      <c r="AX237" s="470"/>
      <c r="AY237" s="470"/>
      <c r="AZ237" s="470"/>
      <c r="BA237" s="470"/>
      <c r="BB237" s="470"/>
      <c r="BC237" s="470"/>
      <c r="BD237" s="470"/>
      <c r="BE237" s="470"/>
      <c r="BF237" s="470"/>
      <c r="BG237" s="470"/>
      <c r="BH237" s="470"/>
      <c r="BI237" s="470"/>
      <c r="BJ237" s="470"/>
      <c r="BK237" s="800"/>
      <c r="BL237" s="606"/>
      <c r="BM237" s="606"/>
      <c r="BT237" s="606"/>
      <c r="BU237" s="606"/>
      <c r="BV237" s="606"/>
      <c r="BZ237" s="606"/>
      <c r="CA237" s="606"/>
      <c r="CB237" s="606"/>
      <c r="CC237" s="606"/>
      <c r="CD237" s="606"/>
      <c r="CE237" s="606"/>
      <c r="CF237" s="606"/>
      <c r="CG237" s="606"/>
      <c r="CH237" s="606"/>
      <c r="CI237" s="606"/>
      <c r="CJ237" s="606"/>
      <c r="CK237" s="606"/>
      <c r="CL237" s="606"/>
      <c r="CM237" s="606"/>
      <c r="CN237" s="606"/>
      <c r="CO237" s="606"/>
      <c r="CP237" s="606"/>
      <c r="CQ237" s="606"/>
      <c r="CR237" s="606"/>
      <c r="CS237" s="606"/>
      <c r="CT237" s="606"/>
      <c r="CU237" s="606"/>
      <c r="CV237" s="606"/>
      <c r="CW237" s="606"/>
      <c r="CX237" s="606"/>
      <c r="CY237" s="606"/>
      <c r="CZ237" s="606"/>
      <c r="DA237" s="606"/>
      <c r="DB237" s="606"/>
      <c r="DC237" s="606"/>
      <c r="DD237" s="606"/>
      <c r="DE237" s="606"/>
      <c r="DF237" s="606"/>
      <c r="DG237" s="606"/>
      <c r="DH237" s="606"/>
      <c r="DI237" s="606"/>
      <c r="DJ237" s="606"/>
      <c r="DK237" s="606"/>
      <c r="DL237" s="606"/>
      <c r="DM237" s="606"/>
      <c r="DN237" s="606"/>
      <c r="DO237" s="606"/>
      <c r="DP237" s="606"/>
      <c r="DQ237" s="606"/>
      <c r="DR237" s="606"/>
      <c r="DS237" s="606"/>
      <c r="DT237" s="606"/>
      <c r="DU237" s="606"/>
      <c r="DV237" s="606"/>
      <c r="DW237" s="606"/>
      <c r="DX237" s="606"/>
    </row>
    <row r="238" spans="1:128" ht="15.75" customHeight="1" thickBot="1" x14ac:dyDescent="0.3">
      <c r="A238" s="1"/>
      <c r="B238" s="15"/>
      <c r="C238" s="514"/>
      <c r="D238" s="17"/>
      <c r="E238" s="17"/>
      <c r="F238" s="17"/>
      <c r="G238" s="52"/>
      <c r="H238" s="17"/>
      <c r="I238" s="18"/>
      <c r="J238" s="1"/>
      <c r="K238" s="650"/>
      <c r="L238" s="376"/>
      <c r="M238" s="376"/>
      <c r="N238" s="376"/>
      <c r="O238" s="26"/>
      <c r="P238" s="26"/>
      <c r="Q238" s="26"/>
      <c r="R238" s="358"/>
      <c r="S238" s="327"/>
      <c r="T238" s="35"/>
      <c r="U238" s="486"/>
      <c r="V238" s="315"/>
      <c r="W238" s="1"/>
      <c r="X238" s="470"/>
      <c r="Y238" s="470"/>
      <c r="Z238" s="470"/>
      <c r="AA238" s="470"/>
      <c r="AB238" s="470"/>
      <c r="AC238" s="470"/>
      <c r="AD238" s="470"/>
      <c r="AE238" s="470"/>
      <c r="AF238" s="470"/>
      <c r="AG238" s="470"/>
      <c r="AH238" s="470"/>
      <c r="AI238" s="470"/>
      <c r="AJ238" s="470"/>
      <c r="AK238" s="470"/>
      <c r="AL238" s="470"/>
      <c r="AM238" s="470"/>
      <c r="AN238" s="470"/>
      <c r="AO238" s="470"/>
      <c r="AP238" s="470"/>
      <c r="AQ238" s="470"/>
      <c r="AR238" s="470"/>
      <c r="AS238" s="470"/>
      <c r="AT238" s="470"/>
      <c r="AU238" s="470"/>
      <c r="AV238" s="470"/>
      <c r="AW238" s="470"/>
      <c r="AX238" s="470"/>
      <c r="AY238" s="470"/>
      <c r="AZ238" s="470"/>
      <c r="BA238" s="470"/>
      <c r="BB238" s="470"/>
      <c r="BC238" s="470"/>
      <c r="BD238" s="470"/>
      <c r="BE238" s="470"/>
      <c r="BF238" s="470"/>
      <c r="BG238" s="470"/>
      <c r="BH238" s="470"/>
      <c r="BI238" s="470"/>
      <c r="BJ238" s="470"/>
      <c r="BK238" s="797"/>
      <c r="BL238" s="179"/>
      <c r="BM238" s="179">
        <f>IF(S239="2:1",S233*U229,IF(S239="1:1",S233*U229,"????"))</f>
        <v>105</v>
      </c>
      <c r="BN238" s="179" t="s">
        <v>345</v>
      </c>
      <c r="CA238" s="606"/>
      <c r="CB238" s="606"/>
      <c r="CC238" s="606"/>
      <c r="CD238" s="606"/>
      <c r="CE238" s="606"/>
    </row>
    <row r="239" spans="1:128" ht="15.75" customHeight="1" thickBot="1" x14ac:dyDescent="0.3">
      <c r="A239" s="1"/>
      <c r="B239" s="15"/>
      <c r="C239" s="52" t="s">
        <v>121</v>
      </c>
      <c r="D239" s="109"/>
      <c r="E239" s="17"/>
      <c r="F239" s="17"/>
      <c r="G239" s="52"/>
      <c r="H239" s="17"/>
      <c r="I239" s="18"/>
      <c r="J239" s="1"/>
      <c r="K239" s="650"/>
      <c r="L239" s="376"/>
      <c r="M239" s="26"/>
      <c r="N239" s="333"/>
      <c r="O239" s="376" t="s">
        <v>148</v>
      </c>
      <c r="P239" s="333"/>
      <c r="Q239" s="333"/>
      <c r="R239" s="376"/>
      <c r="S239" s="111" t="str">
        <f>BN189</f>
        <v>1:1</v>
      </c>
      <c r="T239" s="376"/>
      <c r="U239" s="486"/>
      <c r="V239" s="315"/>
      <c r="W239" s="1"/>
      <c r="X239" s="470"/>
      <c r="Y239" s="470"/>
      <c r="Z239" s="470"/>
      <c r="AA239" s="470"/>
      <c r="AB239" s="470"/>
      <c r="AC239" s="470"/>
      <c r="AD239" s="470"/>
      <c r="AE239" s="470"/>
      <c r="AF239" s="470"/>
      <c r="AG239" s="470"/>
      <c r="AH239" s="470"/>
      <c r="AI239" s="470"/>
      <c r="AJ239" s="470"/>
      <c r="AK239" s="470"/>
      <c r="AL239" s="470"/>
      <c r="AM239" s="470"/>
      <c r="AN239" s="470"/>
      <c r="AO239" s="470"/>
      <c r="AP239" s="470"/>
      <c r="AQ239" s="470"/>
      <c r="AR239" s="470"/>
      <c r="AS239" s="470"/>
      <c r="AT239" s="470"/>
      <c r="AU239" s="470"/>
      <c r="AV239" s="470"/>
      <c r="AW239" s="470"/>
      <c r="AX239" s="470"/>
      <c r="AY239" s="470"/>
      <c r="AZ239" s="470"/>
      <c r="BA239" s="470"/>
      <c r="BB239" s="470"/>
      <c r="BC239" s="470"/>
      <c r="BD239" s="470"/>
      <c r="BE239" s="470"/>
      <c r="BF239" s="470"/>
      <c r="BG239" s="470"/>
      <c r="BH239" s="470"/>
      <c r="BI239" s="470"/>
      <c r="BJ239" s="470"/>
      <c r="BK239" s="797"/>
      <c r="BL239" s="179"/>
      <c r="CA239" s="606"/>
      <c r="CB239" s="606"/>
      <c r="CC239" s="606"/>
      <c r="CD239" s="606"/>
      <c r="CE239" s="606"/>
    </row>
    <row r="240" spans="1:128" ht="15.75" customHeight="1" thickBot="1" x14ac:dyDescent="0.3">
      <c r="A240" s="1"/>
      <c r="B240" s="15"/>
      <c r="C240" s="514"/>
      <c r="D240" s="17"/>
      <c r="E240" s="17"/>
      <c r="F240" s="17"/>
      <c r="G240" s="52"/>
      <c r="H240" s="17"/>
      <c r="I240" s="18"/>
      <c r="J240" s="1"/>
      <c r="K240" s="650"/>
      <c r="L240" s="376"/>
      <c r="M240" s="26"/>
      <c r="N240" s="333"/>
      <c r="O240" s="376"/>
      <c r="P240" s="333"/>
      <c r="Q240" s="333"/>
      <c r="R240" s="376"/>
      <c r="S240" s="112"/>
      <c r="T240" s="376"/>
      <c r="U240" s="486"/>
      <c r="V240" s="315"/>
      <c r="W240" s="1"/>
      <c r="X240" s="470"/>
      <c r="Y240" s="470"/>
      <c r="Z240" s="470"/>
      <c r="AA240" s="470"/>
      <c r="AB240" s="470"/>
      <c r="AC240" s="470"/>
      <c r="AD240" s="470"/>
      <c r="AE240" s="470"/>
      <c r="AF240" s="470"/>
      <c r="AG240" s="470"/>
      <c r="AH240" s="470"/>
      <c r="AI240" s="470"/>
      <c r="AJ240" s="470"/>
      <c r="AK240" s="470"/>
      <c r="AL240" s="470"/>
      <c r="AM240" s="470"/>
      <c r="AN240" s="470"/>
      <c r="AO240" s="470"/>
      <c r="AP240" s="470"/>
      <c r="AQ240" s="470"/>
      <c r="AR240" s="470"/>
      <c r="AS240" s="470"/>
      <c r="AT240" s="470"/>
      <c r="AU240" s="470"/>
      <c r="AV240" s="470"/>
      <c r="AW240" s="470"/>
      <c r="AX240" s="470"/>
      <c r="AY240" s="470"/>
      <c r="AZ240" s="470"/>
      <c r="BA240" s="470"/>
      <c r="BB240" s="470"/>
      <c r="BC240" s="470"/>
      <c r="BD240" s="470"/>
      <c r="BE240" s="470"/>
      <c r="BF240" s="470"/>
      <c r="BG240" s="470"/>
      <c r="BH240" s="470"/>
      <c r="BI240" s="470"/>
      <c r="BJ240" s="470"/>
      <c r="BK240" s="797"/>
      <c r="BL240" s="179"/>
      <c r="CA240" s="606"/>
      <c r="CB240" s="606"/>
      <c r="CC240" s="606"/>
      <c r="CD240" s="606"/>
      <c r="CE240" s="606"/>
    </row>
    <row r="241" spans="1:65" ht="15.75" customHeight="1" thickBot="1" x14ac:dyDescent="0.3">
      <c r="A241" s="1"/>
      <c r="B241" s="15"/>
      <c r="C241" s="514"/>
      <c r="D241" s="17"/>
      <c r="E241" s="17"/>
      <c r="F241" s="17"/>
      <c r="G241" s="52"/>
      <c r="H241" s="17"/>
      <c r="I241" s="18"/>
      <c r="J241" s="1"/>
      <c r="K241" s="650"/>
      <c r="L241" s="376"/>
      <c r="M241" s="376"/>
      <c r="N241" s="376"/>
      <c r="O241" s="376" t="s">
        <v>150</v>
      </c>
      <c r="P241" s="333"/>
      <c r="Q241" s="333"/>
      <c r="R241" s="333"/>
      <c r="S241" s="111">
        <f>BM238</f>
        <v>105</v>
      </c>
      <c r="T241" s="333"/>
      <c r="U241" s="486"/>
      <c r="V241" s="315"/>
      <c r="W241" s="1"/>
      <c r="X241" s="470"/>
      <c r="Y241" s="470"/>
      <c r="Z241" s="470"/>
      <c r="AA241" s="470"/>
      <c r="AB241" s="470"/>
      <c r="AC241" s="470"/>
      <c r="AD241" s="470"/>
      <c r="AE241" s="470"/>
      <c r="AF241" s="470"/>
      <c r="AG241" s="470"/>
      <c r="AH241" s="470"/>
      <c r="AI241" s="470"/>
      <c r="AJ241" s="470"/>
      <c r="AK241" s="470"/>
      <c r="AL241" s="470"/>
      <c r="AM241" s="470"/>
      <c r="AN241" s="470"/>
      <c r="AO241" s="470"/>
      <c r="AP241" s="470"/>
      <c r="AQ241" s="470"/>
      <c r="AR241" s="470"/>
      <c r="AS241" s="470"/>
      <c r="AT241" s="470"/>
      <c r="AU241" s="470"/>
      <c r="AV241" s="470"/>
      <c r="AW241" s="470"/>
      <c r="AX241" s="470"/>
      <c r="AY241" s="470"/>
      <c r="AZ241" s="470"/>
      <c r="BA241" s="470"/>
      <c r="BB241" s="470"/>
      <c r="BC241" s="470"/>
      <c r="BD241" s="470"/>
      <c r="BE241" s="470"/>
      <c r="BF241" s="470"/>
      <c r="BG241" s="470"/>
      <c r="BH241" s="470"/>
      <c r="BI241" s="470"/>
      <c r="BJ241" s="470"/>
      <c r="BK241" s="797"/>
      <c r="BL241" s="179"/>
    </row>
    <row r="242" spans="1:65" ht="15.75" customHeight="1" thickBot="1" x14ac:dyDescent="0.3">
      <c r="A242" s="1"/>
      <c r="B242" s="15"/>
      <c r="C242" s="514"/>
      <c r="D242" s="17"/>
      <c r="E242" s="17"/>
      <c r="F242" s="17"/>
      <c r="G242" s="52"/>
      <c r="H242" s="17"/>
      <c r="I242" s="18"/>
      <c r="J242" s="1"/>
      <c r="K242" s="650"/>
      <c r="L242" s="376"/>
      <c r="M242" s="376"/>
      <c r="N242" s="376"/>
      <c r="O242" s="376"/>
      <c r="P242" s="333"/>
      <c r="Q242" s="333"/>
      <c r="R242" s="333"/>
      <c r="S242" s="112"/>
      <c r="T242" s="333"/>
      <c r="U242" s="486"/>
      <c r="V242" s="315"/>
      <c r="W242" s="1"/>
      <c r="X242" s="470"/>
      <c r="Y242" s="470"/>
      <c r="Z242" s="470"/>
      <c r="AA242" s="470"/>
      <c r="AB242" s="470"/>
      <c r="AC242" s="470"/>
      <c r="AD242" s="470"/>
      <c r="AE242" s="470"/>
      <c r="AF242" s="470"/>
      <c r="AG242" s="470"/>
      <c r="AH242" s="470"/>
      <c r="AI242" s="470"/>
      <c r="AJ242" s="470"/>
      <c r="AK242" s="470"/>
      <c r="AL242" s="470"/>
      <c r="AM242" s="470"/>
      <c r="AN242" s="470"/>
      <c r="AO242" s="470"/>
      <c r="AP242" s="470"/>
      <c r="AQ242" s="470"/>
      <c r="AR242" s="470"/>
      <c r="AS242" s="470"/>
      <c r="AT242" s="470"/>
      <c r="AU242" s="470"/>
      <c r="AV242" s="470"/>
      <c r="AW242" s="470"/>
      <c r="AX242" s="470"/>
      <c r="AY242" s="470"/>
      <c r="AZ242" s="470"/>
      <c r="BA242" s="470"/>
      <c r="BB242" s="470"/>
      <c r="BC242" s="470"/>
      <c r="BD242" s="470"/>
      <c r="BE242" s="470"/>
      <c r="BF242" s="470"/>
      <c r="BG242" s="470"/>
      <c r="BH242" s="470"/>
      <c r="BI242" s="470"/>
      <c r="BJ242" s="470"/>
      <c r="BK242" s="797"/>
      <c r="BL242" s="179"/>
    </row>
    <row r="243" spans="1:65" ht="15.75" customHeight="1" thickBot="1" x14ac:dyDescent="0.3">
      <c r="A243" s="1"/>
      <c r="B243" s="15"/>
      <c r="C243" s="514"/>
      <c r="D243" s="17"/>
      <c r="E243" s="17"/>
      <c r="F243" s="17"/>
      <c r="G243" s="52"/>
      <c r="H243" s="17"/>
      <c r="I243" s="18"/>
      <c r="J243" s="1"/>
      <c r="K243" s="650"/>
      <c r="L243" s="376" t="s">
        <v>145</v>
      </c>
      <c r="M243" s="26" t="s">
        <v>138</v>
      </c>
      <c r="N243" s="26"/>
      <c r="O243" s="26"/>
      <c r="P243" s="26"/>
      <c r="Q243" s="26"/>
      <c r="R243" s="518" t="s">
        <v>380</v>
      </c>
      <c r="S243" s="1076" t="s">
        <v>109</v>
      </c>
      <c r="T243" s="1077"/>
      <c r="U243" s="486"/>
      <c r="V243" s="315"/>
      <c r="W243" s="1"/>
      <c r="X243" s="470"/>
      <c r="Y243" s="470"/>
      <c r="Z243" s="470"/>
      <c r="AA243" s="470"/>
      <c r="AB243" s="470"/>
      <c r="AC243" s="470"/>
      <c r="AD243" s="470"/>
      <c r="AE243" s="470"/>
      <c r="AF243" s="470"/>
      <c r="AG243" s="470"/>
      <c r="AH243" s="470"/>
      <c r="AI243" s="470"/>
      <c r="AJ243" s="470"/>
      <c r="AK243" s="470"/>
      <c r="AL243" s="470"/>
      <c r="AM243" s="470"/>
      <c r="AN243" s="470"/>
      <c r="AO243" s="470"/>
      <c r="AP243" s="470"/>
      <c r="AQ243" s="470"/>
      <c r="AR243" s="470"/>
      <c r="AS243" s="470"/>
      <c r="AT243" s="470"/>
      <c r="AU243" s="470"/>
      <c r="AV243" s="470"/>
      <c r="AW243" s="470"/>
      <c r="AX243" s="470"/>
      <c r="AY243" s="470"/>
      <c r="AZ243" s="470"/>
      <c r="BA243" s="470"/>
      <c r="BB243" s="470"/>
      <c r="BC243" s="470"/>
      <c r="BD243" s="470"/>
      <c r="BE243" s="470"/>
      <c r="BF243" s="470"/>
      <c r="BG243" s="470"/>
      <c r="BH243" s="470"/>
      <c r="BI243" s="470"/>
      <c r="BJ243" s="470"/>
      <c r="BK243" s="797"/>
      <c r="BL243" s="179"/>
    </row>
    <row r="244" spans="1:65" ht="15.75" customHeight="1" thickBot="1" x14ac:dyDescent="0.3">
      <c r="A244" s="1"/>
      <c r="B244" s="15"/>
      <c r="C244" s="514"/>
      <c r="D244" s="17"/>
      <c r="E244" s="17"/>
      <c r="F244" s="17"/>
      <c r="G244" s="52"/>
      <c r="H244" s="17"/>
      <c r="I244" s="18"/>
      <c r="J244" s="1"/>
      <c r="K244" s="650"/>
      <c r="L244" s="376"/>
      <c r="M244" s="26"/>
      <c r="N244" s="333"/>
      <c r="O244" s="333"/>
      <c r="P244" s="333"/>
      <c r="Q244" s="333"/>
      <c r="R244" s="1039"/>
      <c r="S244" s="1039"/>
      <c r="T244" s="1039"/>
      <c r="U244" s="399"/>
      <c r="V244" s="315"/>
      <c r="W244" s="1"/>
      <c r="X244" s="470"/>
      <c r="Y244" s="470"/>
      <c r="Z244" s="470"/>
      <c r="AA244" s="470"/>
      <c r="AB244" s="470"/>
      <c r="AC244" s="470"/>
      <c r="AD244" s="470"/>
      <c r="AE244" s="470"/>
      <c r="AF244" s="470"/>
      <c r="AG244" s="470"/>
      <c r="AH244" s="470"/>
      <c r="AI244" s="470"/>
      <c r="AJ244" s="470"/>
      <c r="AK244" s="470"/>
      <c r="AL244" s="470"/>
      <c r="AM244" s="470"/>
      <c r="AN244" s="470"/>
      <c r="AO244" s="470"/>
      <c r="AP244" s="470"/>
      <c r="AQ244" s="470"/>
      <c r="AR244" s="470"/>
      <c r="AS244" s="470"/>
      <c r="AT244" s="470"/>
      <c r="AU244" s="470"/>
      <c r="AV244" s="470"/>
      <c r="AW244" s="470"/>
      <c r="AX244" s="470"/>
      <c r="AY244" s="470"/>
      <c r="AZ244" s="470"/>
      <c r="BA244" s="470"/>
      <c r="BB244" s="470"/>
      <c r="BC244" s="470"/>
      <c r="BD244" s="470"/>
      <c r="BE244" s="470"/>
      <c r="BF244" s="470"/>
      <c r="BG244" s="470"/>
      <c r="BH244" s="470"/>
      <c r="BI244" s="470"/>
      <c r="BJ244" s="470"/>
      <c r="BK244" s="797"/>
      <c r="BL244" s="179"/>
    </row>
    <row r="245" spans="1:65" ht="15.75" customHeight="1" thickBot="1" x14ac:dyDescent="0.3">
      <c r="A245" s="1"/>
      <c r="B245" s="15"/>
      <c r="C245" s="514"/>
      <c r="D245" s="17"/>
      <c r="E245" s="17"/>
      <c r="F245" s="17"/>
      <c r="G245" s="52"/>
      <c r="H245" s="17"/>
      <c r="I245" s="18"/>
      <c r="J245" s="1"/>
      <c r="K245" s="650"/>
      <c r="L245" s="376"/>
      <c r="M245" s="26"/>
      <c r="N245" s="1042" t="s">
        <v>72</v>
      </c>
      <c r="O245" s="1043"/>
      <c r="P245" s="1048"/>
      <c r="Q245" s="1046" t="s">
        <v>73</v>
      </c>
      <c r="R245" s="1047"/>
      <c r="S245" s="483" t="s">
        <v>34</v>
      </c>
      <c r="T245" s="1042" t="s">
        <v>90</v>
      </c>
      <c r="U245" s="1048"/>
      <c r="V245" s="315"/>
      <c r="W245" s="1"/>
      <c r="X245" s="470"/>
      <c r="Y245" s="470"/>
      <c r="Z245" s="470"/>
      <c r="AA245" s="470"/>
      <c r="AB245" s="470"/>
      <c r="AC245" s="470"/>
      <c r="AD245" s="470"/>
      <c r="AE245" s="470"/>
      <c r="AF245" s="470"/>
      <c r="AG245" s="470"/>
      <c r="AH245" s="470"/>
      <c r="AI245" s="470"/>
      <c r="AJ245" s="470"/>
      <c r="AK245" s="470"/>
      <c r="AL245" s="470"/>
      <c r="AM245" s="470"/>
      <c r="AN245" s="470"/>
      <c r="AO245" s="470"/>
      <c r="AP245" s="470"/>
      <c r="AQ245" s="470"/>
      <c r="AR245" s="470"/>
      <c r="AS245" s="470"/>
      <c r="AT245" s="470"/>
      <c r="AU245" s="470"/>
      <c r="AV245" s="470"/>
      <c r="AW245" s="470"/>
      <c r="AX245" s="470"/>
      <c r="AY245" s="470"/>
      <c r="AZ245" s="470"/>
      <c r="BA245" s="470"/>
      <c r="BB245" s="470"/>
      <c r="BC245" s="470"/>
      <c r="BD245" s="470"/>
      <c r="BE245" s="470"/>
      <c r="BF245" s="470"/>
      <c r="BG245" s="470"/>
      <c r="BH245" s="470"/>
      <c r="BI245" s="470"/>
      <c r="BJ245" s="470"/>
      <c r="BK245" s="797"/>
      <c r="BL245" s="179"/>
    </row>
    <row r="246" spans="1:65" ht="15.75" customHeight="1" thickBot="1" x14ac:dyDescent="0.3">
      <c r="A246" s="1"/>
      <c r="B246" s="15"/>
      <c r="C246" s="514"/>
      <c r="D246" s="17"/>
      <c r="E246" s="17"/>
      <c r="F246" s="17"/>
      <c r="G246" s="52"/>
      <c r="H246" s="17"/>
      <c r="I246" s="18"/>
      <c r="J246" s="1"/>
      <c r="K246" s="650"/>
      <c r="L246" s="376"/>
      <c r="M246" s="26"/>
      <c r="N246" s="1044"/>
      <c r="O246" s="1045"/>
      <c r="P246" s="1049"/>
      <c r="Q246" s="525" t="s">
        <v>75</v>
      </c>
      <c r="R246" s="526" t="s">
        <v>76</v>
      </c>
      <c r="S246" s="484"/>
      <c r="T246" s="1044"/>
      <c r="U246" s="1049"/>
      <c r="V246" s="315"/>
      <c r="W246" s="1"/>
      <c r="X246" s="470"/>
      <c r="Y246" s="470"/>
      <c r="Z246" s="470"/>
      <c r="AA246" s="470"/>
      <c r="AB246" s="470"/>
      <c r="AC246" s="470"/>
      <c r="AD246" s="470"/>
      <c r="AE246" s="470"/>
      <c r="AF246" s="470"/>
      <c r="AG246" s="470"/>
      <c r="AH246" s="470"/>
      <c r="AI246" s="470"/>
      <c r="AJ246" s="470"/>
      <c r="AK246" s="470"/>
      <c r="AL246" s="470"/>
      <c r="AM246" s="470"/>
      <c r="AN246" s="470"/>
      <c r="AO246" s="470"/>
      <c r="AP246" s="470"/>
      <c r="AQ246" s="470"/>
      <c r="AR246" s="470"/>
      <c r="AS246" s="470"/>
      <c r="AT246" s="470"/>
      <c r="AU246" s="470"/>
      <c r="AV246" s="470"/>
      <c r="AW246" s="470"/>
      <c r="AX246" s="470"/>
      <c r="AY246" s="470"/>
      <c r="AZ246" s="470"/>
      <c r="BA246" s="470"/>
      <c r="BB246" s="470"/>
      <c r="BC246" s="470"/>
      <c r="BD246" s="470"/>
      <c r="BE246" s="470"/>
      <c r="BF246" s="470"/>
      <c r="BG246" s="470"/>
      <c r="BH246" s="470"/>
      <c r="BI246" s="470"/>
      <c r="BJ246" s="470"/>
      <c r="BK246" s="797"/>
      <c r="BL246" s="179"/>
      <c r="BM246" s="233"/>
    </row>
    <row r="247" spans="1:65" ht="15.75" customHeight="1" thickBot="1" x14ac:dyDescent="0.3">
      <c r="A247" s="1"/>
      <c r="B247" s="15"/>
      <c r="C247" s="514"/>
      <c r="D247" s="17"/>
      <c r="E247" s="17"/>
      <c r="F247" s="17"/>
      <c r="G247" s="52"/>
      <c r="H247" s="17"/>
      <c r="I247" s="18"/>
      <c r="J247" s="1"/>
      <c r="K247" s="650"/>
      <c r="L247" s="402"/>
      <c r="M247" s="26"/>
      <c r="N247" s="81" t="s">
        <v>149</v>
      </c>
      <c r="O247" s="82"/>
      <c r="P247" s="82"/>
      <c r="Q247" s="91" t="s">
        <v>92</v>
      </c>
      <c r="R247" s="65" t="s">
        <v>92</v>
      </c>
      <c r="S247" s="66" t="str">
        <f>S239</f>
        <v>1:1</v>
      </c>
      <c r="T247" s="1040" t="str">
        <f>IF(OR(S247="2:1",S247="1:1"),"Atende","Não atende")</f>
        <v>Atende</v>
      </c>
      <c r="U247" s="1041"/>
      <c r="V247" s="315"/>
      <c r="W247" s="1"/>
      <c r="X247" s="470"/>
      <c r="Y247" s="470"/>
      <c r="Z247" s="470"/>
      <c r="AA247" s="470"/>
      <c r="AB247" s="470"/>
      <c r="AC247" s="470"/>
      <c r="AD247" s="470"/>
      <c r="AE247" s="470"/>
      <c r="AF247" s="470"/>
      <c r="AG247" s="470"/>
      <c r="AH247" s="470"/>
      <c r="AI247" s="470"/>
      <c r="AJ247" s="470"/>
      <c r="AK247" s="470"/>
      <c r="AL247" s="470"/>
      <c r="AM247" s="470"/>
      <c r="AN247" s="470"/>
      <c r="AO247" s="470"/>
      <c r="AP247" s="470"/>
      <c r="AQ247" s="470"/>
      <c r="AR247" s="470"/>
      <c r="AS247" s="470"/>
      <c r="AT247" s="470"/>
      <c r="AU247" s="470"/>
      <c r="AV247" s="470"/>
      <c r="AW247" s="470"/>
      <c r="AX247" s="470"/>
      <c r="AY247" s="470"/>
      <c r="AZ247" s="470"/>
      <c r="BA247" s="470"/>
      <c r="BB247" s="470"/>
      <c r="BC247" s="470"/>
      <c r="BD247" s="470"/>
      <c r="BE247" s="470"/>
      <c r="BF247" s="470"/>
      <c r="BG247" s="470"/>
      <c r="BH247" s="470"/>
      <c r="BI247" s="470"/>
      <c r="BJ247" s="470"/>
      <c r="BK247" s="797"/>
      <c r="BL247" s="179"/>
    </row>
    <row r="248" spans="1:65" ht="15.75" customHeight="1" thickBot="1" x14ac:dyDescent="0.3">
      <c r="A248" s="1"/>
      <c r="B248" s="15"/>
      <c r="C248" s="514"/>
      <c r="D248" s="17"/>
      <c r="E248" s="17"/>
      <c r="F248" s="17"/>
      <c r="G248" s="52"/>
      <c r="H248" s="17"/>
      <c r="I248" s="18"/>
      <c r="J248" s="1"/>
      <c r="K248" s="650"/>
      <c r="L248" s="402"/>
      <c r="M248" s="26"/>
      <c r="N248" s="62" t="s">
        <v>94</v>
      </c>
      <c r="O248" s="82"/>
      <c r="P248" s="82"/>
      <c r="Q248" s="93">
        <v>0.3</v>
      </c>
      <c r="R248" s="330" t="s">
        <v>92</v>
      </c>
      <c r="S248" s="66">
        <f>P229</f>
        <v>1</v>
      </c>
      <c r="T248" s="1054" t="str">
        <f>IF(S239="????","????",IF(S248&gt;Q248,"Atende","Não Atende"))</f>
        <v>Atende</v>
      </c>
      <c r="U248" s="1055"/>
      <c r="V248" s="315"/>
      <c r="W248" s="1"/>
      <c r="X248" s="470"/>
      <c r="Y248" s="470"/>
      <c r="Z248" s="470"/>
      <c r="AA248" s="470"/>
      <c r="AB248" s="470"/>
      <c r="AC248" s="470"/>
      <c r="AD248" s="470"/>
      <c r="AE248" s="470"/>
      <c r="AF248" s="470"/>
      <c r="AG248" s="470"/>
      <c r="AH248" s="470"/>
      <c r="AI248" s="470"/>
      <c r="AJ248" s="470"/>
      <c r="AK248" s="470"/>
      <c r="AL248" s="470"/>
      <c r="AM248" s="470"/>
      <c r="AN248" s="470"/>
      <c r="AO248" s="470"/>
      <c r="AP248" s="470"/>
      <c r="AQ248" s="470"/>
      <c r="AR248" s="470"/>
      <c r="AS248" s="470"/>
      <c r="AT248" s="470"/>
      <c r="AU248" s="470"/>
      <c r="AV248" s="470"/>
      <c r="AW248" s="470"/>
      <c r="AX248" s="470"/>
      <c r="AY248" s="470"/>
      <c r="AZ248" s="470"/>
      <c r="BA248" s="470"/>
      <c r="BB248" s="470"/>
      <c r="BC248" s="470"/>
      <c r="BD248" s="470"/>
      <c r="BE248" s="470"/>
      <c r="BF248" s="470"/>
      <c r="BG248" s="470"/>
      <c r="BH248" s="470"/>
      <c r="BI248" s="470"/>
      <c r="BJ248" s="470"/>
      <c r="BK248" s="797"/>
      <c r="BL248" s="179"/>
    </row>
    <row r="249" spans="1:65" ht="15.75" customHeight="1" thickBot="1" x14ac:dyDescent="0.3">
      <c r="A249" s="1"/>
      <c r="B249" s="15"/>
      <c r="C249" s="514"/>
      <c r="D249" s="17"/>
      <c r="E249" s="17"/>
      <c r="F249" s="17"/>
      <c r="G249" s="52"/>
      <c r="H249" s="17"/>
      <c r="I249" s="18"/>
      <c r="J249" s="1"/>
      <c r="K249" s="650"/>
      <c r="L249" s="402"/>
      <c r="M249" s="26"/>
      <c r="N249" s="62" t="s">
        <v>120</v>
      </c>
      <c r="O249" s="521"/>
      <c r="P249" s="521"/>
      <c r="Q249" s="75">
        <v>0.3</v>
      </c>
      <c r="R249" s="331" t="s">
        <v>92</v>
      </c>
      <c r="S249" s="71">
        <f>Q229</f>
        <v>1.5</v>
      </c>
      <c r="T249" s="1054" t="str">
        <f>IF(S239="????","????",IF(S249&gt;Q249,"Atende","Não Atende"))</f>
        <v>Atende</v>
      </c>
      <c r="U249" s="1055"/>
      <c r="V249" s="315"/>
      <c r="W249" s="1"/>
      <c r="X249" s="470"/>
      <c r="Y249" s="470"/>
      <c r="Z249" s="470"/>
      <c r="AA249" s="470"/>
      <c r="AB249" s="470"/>
      <c r="AC249" s="470"/>
      <c r="AD249" s="470"/>
      <c r="AE249" s="470"/>
      <c r="AF249" s="470"/>
      <c r="AG249" s="470"/>
      <c r="AH249" s="470"/>
      <c r="AI249" s="470"/>
      <c r="AJ249" s="470"/>
      <c r="AK249" s="470"/>
      <c r="AL249" s="470"/>
      <c r="AM249" s="470"/>
      <c r="AN249" s="470"/>
      <c r="AO249" s="470"/>
      <c r="AP249" s="470"/>
      <c r="AQ249" s="470"/>
      <c r="AR249" s="470"/>
      <c r="AS249" s="470"/>
      <c r="AT249" s="470"/>
      <c r="AU249" s="470"/>
      <c r="AV249" s="470"/>
      <c r="AW249" s="470"/>
      <c r="AX249" s="470"/>
      <c r="AY249" s="470"/>
      <c r="AZ249" s="470"/>
      <c r="BA249" s="470"/>
      <c r="BB249" s="470"/>
      <c r="BC249" s="470"/>
      <c r="BD249" s="470"/>
      <c r="BE249" s="470"/>
      <c r="BF249" s="470"/>
      <c r="BG249" s="470"/>
      <c r="BH249" s="470"/>
      <c r="BI249" s="470"/>
      <c r="BJ249" s="470"/>
      <c r="BK249" s="797"/>
      <c r="BL249" s="179"/>
    </row>
    <row r="250" spans="1:65" ht="15.75" customHeight="1" thickBot="1" x14ac:dyDescent="0.3">
      <c r="A250" s="1"/>
      <c r="B250" s="15"/>
      <c r="C250" s="514"/>
      <c r="D250" s="17"/>
      <c r="E250" s="17"/>
      <c r="F250" s="17"/>
      <c r="G250" s="52"/>
      <c r="H250" s="17"/>
      <c r="I250" s="18"/>
      <c r="J250" s="1"/>
      <c r="K250" s="650"/>
      <c r="L250" s="402"/>
      <c r="M250" s="26"/>
      <c r="N250" s="62" t="s">
        <v>96</v>
      </c>
      <c r="O250" s="521"/>
      <c r="P250" s="521"/>
      <c r="Q250" s="332" t="s">
        <v>92</v>
      </c>
      <c r="R250" s="76">
        <v>30</v>
      </c>
      <c r="S250" s="83">
        <f>R229</f>
        <v>10</v>
      </c>
      <c r="T250" s="1054" t="str">
        <f>IF(S239="????","????",IF(S250&lt;=R250,"Atende","Não Atende"))</f>
        <v>Atende</v>
      </c>
      <c r="U250" s="1055"/>
      <c r="V250" s="315"/>
      <c r="W250" s="1"/>
      <c r="X250" s="470"/>
      <c r="Y250" s="470"/>
      <c r="Z250" s="470"/>
      <c r="AA250" s="470"/>
      <c r="AB250" s="470"/>
      <c r="AC250" s="470"/>
      <c r="AD250" s="470"/>
      <c r="AE250" s="470"/>
      <c r="AF250" s="470"/>
      <c r="AG250" s="470"/>
      <c r="AH250" s="470"/>
      <c r="AI250" s="470"/>
      <c r="AJ250" s="470"/>
      <c r="AK250" s="470"/>
      <c r="AL250" s="470"/>
      <c r="AM250" s="470"/>
      <c r="AN250" s="470"/>
      <c r="AO250" s="470"/>
      <c r="AP250" s="470"/>
      <c r="AQ250" s="470"/>
      <c r="AR250" s="470"/>
      <c r="AS250" s="470"/>
      <c r="AT250" s="470"/>
      <c r="AU250" s="470"/>
      <c r="AV250" s="470"/>
      <c r="AW250" s="470"/>
      <c r="AX250" s="470"/>
      <c r="AY250" s="470"/>
      <c r="AZ250" s="470"/>
      <c r="BA250" s="470"/>
      <c r="BB250" s="470"/>
      <c r="BC250" s="470"/>
      <c r="BD250" s="470"/>
      <c r="BE250" s="470"/>
      <c r="BF250" s="470"/>
      <c r="BG250" s="470"/>
      <c r="BH250" s="470"/>
      <c r="BI250" s="470"/>
      <c r="BJ250" s="470"/>
      <c r="BK250" s="797"/>
      <c r="BL250" s="179"/>
    </row>
    <row r="251" spans="1:65" ht="15.75" customHeight="1" thickBot="1" x14ac:dyDescent="0.3">
      <c r="A251" s="1"/>
      <c r="B251" s="15"/>
      <c r="C251" s="514"/>
      <c r="D251" s="17"/>
      <c r="E251" s="17"/>
      <c r="F251" s="17"/>
      <c r="G251" s="52"/>
      <c r="H251" s="17"/>
      <c r="I251" s="18"/>
      <c r="J251" s="1"/>
      <c r="K251" s="650"/>
      <c r="L251" s="402"/>
      <c r="M251" s="26"/>
      <c r="N251" s="62" t="s">
        <v>139</v>
      </c>
      <c r="O251" s="521"/>
      <c r="P251" s="521"/>
      <c r="Q251" s="332" t="s">
        <v>92</v>
      </c>
      <c r="R251" s="332" t="s">
        <v>92</v>
      </c>
      <c r="S251" s="83">
        <f>U229</f>
        <v>35</v>
      </c>
      <c r="T251" s="1052" t="str">
        <f>IF(S239="????","????","----")</f>
        <v>----</v>
      </c>
      <c r="U251" s="1053"/>
      <c r="V251" s="315"/>
      <c r="W251" s="1"/>
      <c r="X251" s="470"/>
      <c r="Y251" s="470"/>
      <c r="Z251" s="470"/>
      <c r="AA251" s="470"/>
      <c r="AB251" s="470"/>
      <c r="AC251" s="470"/>
      <c r="AD251" s="470"/>
      <c r="AE251" s="470"/>
      <c r="AF251" s="470"/>
      <c r="AG251" s="470"/>
      <c r="AH251" s="470"/>
      <c r="AI251" s="470"/>
      <c r="AJ251" s="470"/>
      <c r="AK251" s="470"/>
      <c r="AL251" s="470"/>
      <c r="AM251" s="470"/>
      <c r="AN251" s="470"/>
      <c r="AO251" s="470"/>
      <c r="AP251" s="470"/>
      <c r="AQ251" s="470"/>
      <c r="AR251" s="470"/>
      <c r="AS251" s="470"/>
      <c r="AT251" s="470"/>
      <c r="AU251" s="470"/>
      <c r="AV251" s="470"/>
      <c r="AW251" s="470"/>
      <c r="AX251" s="470"/>
      <c r="AY251" s="470"/>
      <c r="AZ251" s="470"/>
      <c r="BA251" s="470"/>
      <c r="BB251" s="470"/>
      <c r="BC251" s="470"/>
      <c r="BD251" s="470"/>
      <c r="BE251" s="470"/>
      <c r="BF251" s="470"/>
      <c r="BG251" s="470"/>
      <c r="BH251" s="470"/>
      <c r="BI251" s="470"/>
      <c r="BJ251" s="470"/>
      <c r="BK251" s="797"/>
      <c r="BL251" s="179"/>
    </row>
    <row r="252" spans="1:65" ht="15.75" customHeight="1" thickBot="1" x14ac:dyDescent="0.3">
      <c r="A252" s="1"/>
      <c r="B252" s="15"/>
      <c r="C252" s="514"/>
      <c r="D252" s="17"/>
      <c r="E252" s="17"/>
      <c r="F252" s="17"/>
      <c r="G252" s="52"/>
      <c r="H252" s="17"/>
      <c r="I252" s="18"/>
      <c r="J252" s="1"/>
      <c r="K252" s="650"/>
      <c r="L252" s="402"/>
      <c r="M252" s="26"/>
      <c r="N252" s="81" t="s">
        <v>140</v>
      </c>
      <c r="O252" s="521"/>
      <c r="P252" s="521"/>
      <c r="Q252" s="332" t="s">
        <v>92</v>
      </c>
      <c r="R252" s="76" t="s">
        <v>92</v>
      </c>
      <c r="S252" s="83">
        <f>S233</f>
        <v>3</v>
      </c>
      <c r="T252" s="1052" t="str">
        <f>IF(S239="????","????","----")</f>
        <v>----</v>
      </c>
      <c r="U252" s="1053"/>
      <c r="V252" s="315"/>
      <c r="W252" s="1"/>
      <c r="X252" s="470"/>
      <c r="Y252" s="470"/>
      <c r="Z252" s="470"/>
      <c r="AA252" s="470"/>
      <c r="AB252" s="470"/>
      <c r="AC252" s="470"/>
      <c r="AD252" s="470"/>
      <c r="AE252" s="470"/>
      <c r="AF252" s="470"/>
      <c r="AG252" s="470"/>
      <c r="AH252" s="470"/>
      <c r="AI252" s="470"/>
      <c r="AJ252" s="470"/>
      <c r="AK252" s="470"/>
      <c r="AL252" s="470"/>
      <c r="AM252" s="470"/>
      <c r="AN252" s="470"/>
      <c r="AO252" s="470"/>
      <c r="AP252" s="470"/>
      <c r="AQ252" s="470"/>
      <c r="AR252" s="470"/>
      <c r="AS252" s="470"/>
      <c r="AT252" s="470"/>
      <c r="AU252" s="470"/>
      <c r="AV252" s="470"/>
      <c r="AW252" s="470"/>
      <c r="AX252" s="470"/>
      <c r="AY252" s="470"/>
      <c r="AZ252" s="470"/>
      <c r="BA252" s="470"/>
      <c r="BB252" s="470"/>
      <c r="BC252" s="470"/>
      <c r="BD252" s="470"/>
      <c r="BE252" s="470"/>
      <c r="BF252" s="470"/>
      <c r="BG252" s="470"/>
      <c r="BH252" s="470"/>
      <c r="BI252" s="470"/>
      <c r="BJ252" s="470"/>
      <c r="BK252" s="797"/>
      <c r="BL252" s="179"/>
    </row>
    <row r="253" spans="1:65" ht="15.75" customHeight="1" thickBot="1" x14ac:dyDescent="0.3">
      <c r="A253" s="1"/>
      <c r="B253" s="15"/>
      <c r="C253" s="514"/>
      <c r="D253" s="17"/>
      <c r="E253" s="17"/>
      <c r="F253" s="17"/>
      <c r="G253" s="52"/>
      <c r="H253" s="17"/>
      <c r="I253" s="18"/>
      <c r="J253" s="1"/>
      <c r="K253" s="650"/>
      <c r="L253" s="402"/>
      <c r="M253" s="26"/>
      <c r="N253" s="81" t="s">
        <v>141</v>
      </c>
      <c r="O253" s="521"/>
      <c r="P253" s="521"/>
      <c r="Q253" s="332">
        <f>U216</f>
        <v>8.8888888888888893</v>
      </c>
      <c r="R253" s="76" t="s">
        <v>92</v>
      </c>
      <c r="S253" s="83">
        <f>BM238</f>
        <v>105</v>
      </c>
      <c r="T253" s="1054" t="str">
        <f>IF(S239="????","????",IF(S253&gt;=Q253,"Atende","Não atende"))</f>
        <v>Atende</v>
      </c>
      <c r="U253" s="1055"/>
      <c r="V253" s="315"/>
      <c r="W253" s="522"/>
      <c r="X253" s="797"/>
      <c r="Y253" s="797"/>
      <c r="Z253" s="797"/>
      <c r="AA253" s="797"/>
      <c r="AB253" s="797"/>
      <c r="AC253" s="797"/>
      <c r="AD253" s="797"/>
      <c r="AE253" s="797"/>
      <c r="AF253" s="797"/>
      <c r="AG253" s="797"/>
      <c r="AH253" s="797"/>
      <c r="AI253" s="797"/>
      <c r="AJ253" s="797"/>
      <c r="AK253" s="797"/>
      <c r="AL253" s="797"/>
      <c r="AM253" s="797"/>
      <c r="AN253" s="797"/>
      <c r="AO253" s="797"/>
      <c r="AP253" s="797"/>
      <c r="AQ253" s="797"/>
      <c r="AR253" s="797"/>
      <c r="AS253" s="797"/>
      <c r="AT253" s="797"/>
      <c r="AU253" s="797"/>
      <c r="AV253" s="797"/>
      <c r="AW253" s="797"/>
      <c r="AX253" s="797"/>
      <c r="AY253" s="797"/>
      <c r="AZ253" s="797"/>
      <c r="BA253" s="797"/>
      <c r="BB253" s="797"/>
      <c r="BC253" s="797"/>
      <c r="BD253" s="797"/>
      <c r="BE253" s="797"/>
      <c r="BF253" s="797"/>
      <c r="BG253" s="797"/>
      <c r="BH253" s="797"/>
      <c r="BI253" s="797"/>
      <c r="BJ253" s="797"/>
      <c r="BK253" s="179"/>
      <c r="BL253" s="179"/>
    </row>
    <row r="254" spans="1:65" ht="15.75" customHeight="1" x14ac:dyDescent="0.25">
      <c r="A254" s="1"/>
      <c r="B254" s="15"/>
      <c r="C254" s="514"/>
      <c r="D254" s="17"/>
      <c r="E254" s="17"/>
      <c r="F254" s="17"/>
      <c r="G254" s="52"/>
      <c r="H254" s="17"/>
      <c r="I254" s="18"/>
      <c r="J254" s="1"/>
      <c r="K254" s="650"/>
      <c r="L254" s="376"/>
      <c r="M254" s="26"/>
      <c r="N254" s="318" t="str">
        <f>IF(R157="vala de infiltração",IF(T247="Não atende","*A relação deve resultar em 1:1 ou 2:1"," ")," ")</f>
        <v xml:space="preserve"> </v>
      </c>
      <c r="O254" s="333"/>
      <c r="P254" s="333"/>
      <c r="Q254" s="333"/>
      <c r="R254" s="358"/>
      <c r="S254" s="358"/>
      <c r="T254" s="358"/>
      <c r="U254" s="326"/>
      <c r="V254" s="315"/>
      <c r="W254" s="1"/>
      <c r="X254" s="797"/>
      <c r="Y254" s="797"/>
      <c r="Z254" s="797"/>
      <c r="AA254" s="797"/>
      <c r="AB254" s="797"/>
      <c r="AC254" s="797"/>
      <c r="AD254" s="797"/>
      <c r="AE254" s="797"/>
      <c r="AF254" s="797"/>
      <c r="AG254" s="797"/>
      <c r="AH254" s="797"/>
      <c r="AI254" s="797"/>
      <c r="AJ254" s="797"/>
      <c r="AK254" s="797"/>
      <c r="AL254" s="797"/>
      <c r="AM254" s="797"/>
      <c r="AN254" s="797"/>
      <c r="AO254" s="797"/>
      <c r="AP254" s="797"/>
      <c r="AQ254" s="797"/>
      <c r="AR254" s="797"/>
      <c r="AS254" s="797"/>
      <c r="AT254" s="797"/>
      <c r="AU254" s="797"/>
      <c r="AV254" s="797"/>
      <c r="AW254" s="797"/>
      <c r="AX254" s="797"/>
      <c r="AY254" s="797"/>
      <c r="AZ254" s="797"/>
      <c r="BA254" s="797"/>
      <c r="BB254" s="797"/>
      <c r="BC254" s="797"/>
      <c r="BD254" s="797"/>
      <c r="BE254" s="797"/>
      <c r="BF254" s="797"/>
      <c r="BG254" s="797"/>
      <c r="BH254" s="797"/>
      <c r="BI254" s="797"/>
      <c r="BJ254" s="797"/>
      <c r="BK254" s="179"/>
      <c r="BL254" s="179"/>
    </row>
    <row r="255" spans="1:65" ht="15.75" customHeight="1" x14ac:dyDescent="0.25">
      <c r="A255" s="1"/>
      <c r="B255" s="15"/>
      <c r="C255" s="514"/>
      <c r="D255" s="17"/>
      <c r="E255" s="17"/>
      <c r="F255" s="17"/>
      <c r="G255" s="52"/>
      <c r="H255" s="17"/>
      <c r="I255" s="18"/>
      <c r="J255" s="1"/>
      <c r="K255" s="650"/>
      <c r="L255" s="376"/>
      <c r="M255" s="26"/>
      <c r="N255" s="26" t="s">
        <v>287</v>
      </c>
      <c r="O255" s="333"/>
      <c r="P255" s="333"/>
      <c r="Q255" s="333"/>
      <c r="R255" s="527"/>
      <c r="S255" s="527"/>
      <c r="T255" s="527"/>
      <c r="U255" s="326"/>
      <c r="V255" s="315"/>
      <c r="W255" s="1"/>
      <c r="BK255" s="797"/>
      <c r="BL255" s="179"/>
    </row>
    <row r="256" spans="1:65" ht="15.75" customHeight="1" x14ac:dyDescent="0.25">
      <c r="A256" s="1"/>
      <c r="B256" s="15"/>
      <c r="C256" s="514"/>
      <c r="D256" s="17"/>
      <c r="E256" s="17"/>
      <c r="F256" s="17"/>
      <c r="G256" s="52"/>
      <c r="H256" s="17"/>
      <c r="I256" s="18"/>
      <c r="J256" s="1"/>
      <c r="K256" s="650"/>
      <c r="L256" s="376"/>
      <c r="M256" s="26"/>
      <c r="N256" s="318"/>
      <c r="O256" s="333"/>
      <c r="P256" s="333"/>
      <c r="Q256" s="333"/>
      <c r="R256" s="527"/>
      <c r="S256" s="527"/>
      <c r="T256" s="527"/>
      <c r="U256" s="326"/>
      <c r="V256" s="315"/>
      <c r="W256" s="1"/>
    </row>
    <row r="257" spans="1:23" ht="15.75" customHeight="1" x14ac:dyDescent="0.25">
      <c r="A257" s="1"/>
      <c r="B257" s="15"/>
      <c r="C257" s="514"/>
      <c r="D257" s="17"/>
      <c r="E257" s="17"/>
      <c r="F257" s="17"/>
      <c r="G257" s="52"/>
      <c r="H257" s="17"/>
      <c r="I257" s="18"/>
      <c r="J257" s="1"/>
      <c r="K257" s="650"/>
      <c r="L257" s="376"/>
      <c r="M257" s="534" t="s">
        <v>224</v>
      </c>
      <c r="N257" s="296" t="s">
        <v>118</v>
      </c>
      <c r="O257" s="296"/>
      <c r="P257" s="296" t="s">
        <v>277</v>
      </c>
      <c r="Q257" s="443"/>
      <c r="R257" s="443"/>
      <c r="S257" s="527"/>
      <c r="T257" s="527"/>
      <c r="U257" s="326"/>
      <c r="V257" s="315"/>
      <c r="W257" s="1"/>
    </row>
    <row r="258" spans="1:23" x14ac:dyDescent="0.25">
      <c r="A258" s="1"/>
      <c r="B258" s="15"/>
      <c r="C258" s="514"/>
      <c r="D258" s="17"/>
      <c r="E258" s="17"/>
      <c r="F258" s="17"/>
      <c r="G258" s="52"/>
      <c r="H258" s="17"/>
      <c r="I258" s="18"/>
      <c r="J258" s="1"/>
      <c r="K258" s="650"/>
      <c r="L258" s="376"/>
      <c r="M258" s="534" t="s">
        <v>224</v>
      </c>
      <c r="N258" s="296" t="s">
        <v>119</v>
      </c>
      <c r="O258" s="296"/>
      <c r="P258" s="296" t="s">
        <v>246</v>
      </c>
      <c r="Q258" s="443"/>
      <c r="R258" s="443"/>
      <c r="S258" s="527"/>
      <c r="T258" s="527"/>
      <c r="U258" s="326"/>
      <c r="V258" s="315"/>
      <c r="W258" s="1"/>
    </row>
    <row r="259" spans="1:23" x14ac:dyDescent="0.25">
      <c r="A259" s="1"/>
      <c r="B259" s="15"/>
      <c r="C259" s="514"/>
      <c r="D259" s="17"/>
      <c r="E259" s="17"/>
      <c r="F259" s="17"/>
      <c r="G259" s="52"/>
      <c r="H259" s="17"/>
      <c r="I259" s="18"/>
      <c r="J259" s="1"/>
      <c r="K259" s="650"/>
      <c r="L259" s="376"/>
      <c r="M259" s="534" t="s">
        <v>224</v>
      </c>
      <c r="N259" s="296" t="s">
        <v>363</v>
      </c>
      <c r="O259" s="296"/>
      <c r="P259" s="296" t="s">
        <v>372</v>
      </c>
      <c r="Q259" s="443"/>
      <c r="R259" s="443"/>
      <c r="S259" s="527"/>
      <c r="T259" s="527"/>
      <c r="U259" s="326"/>
      <c r="V259" s="315"/>
      <c r="W259" s="1"/>
    </row>
    <row r="260" spans="1:23" x14ac:dyDescent="0.25">
      <c r="A260" s="1"/>
      <c r="B260" s="15"/>
      <c r="C260" s="514"/>
      <c r="D260" s="17"/>
      <c r="E260" s="17"/>
      <c r="F260" s="17"/>
      <c r="G260" s="52"/>
      <c r="H260" s="17"/>
      <c r="I260" s="18"/>
      <c r="J260" s="1"/>
      <c r="K260" s="650"/>
      <c r="L260" s="376"/>
      <c r="M260" s="534" t="s">
        <v>224</v>
      </c>
      <c r="N260" s="296" t="s">
        <v>373</v>
      </c>
      <c r="O260" s="296"/>
      <c r="P260" s="56"/>
      <c r="Q260" s="56"/>
      <c r="R260" s="56"/>
      <c r="S260" s="735" t="s">
        <v>381</v>
      </c>
      <c r="T260" s="527"/>
      <c r="U260" s="326"/>
      <c r="V260" s="315"/>
      <c r="W260" s="1"/>
    </row>
    <row r="261" spans="1:23" x14ac:dyDescent="0.25">
      <c r="A261" s="1"/>
      <c r="B261" s="15"/>
      <c r="C261" s="514"/>
      <c r="D261" s="17"/>
      <c r="E261" s="17"/>
      <c r="F261" s="17"/>
      <c r="G261" s="52"/>
      <c r="H261" s="17"/>
      <c r="I261" s="18"/>
      <c r="J261" s="1"/>
      <c r="K261" s="650"/>
      <c r="L261" s="376"/>
      <c r="M261" s="534" t="s">
        <v>224</v>
      </c>
      <c r="N261" s="296" t="s">
        <v>289</v>
      </c>
      <c r="O261" s="333"/>
      <c r="P261" s="333"/>
      <c r="Q261" s="333"/>
      <c r="R261" s="527"/>
      <c r="S261" s="527"/>
      <c r="T261" s="527"/>
      <c r="U261" s="326"/>
      <c r="V261" s="315"/>
      <c r="W261" s="1"/>
    </row>
    <row r="262" spans="1:23" x14ac:dyDescent="0.25">
      <c r="A262" s="1"/>
      <c r="B262" s="15"/>
      <c r="C262" s="514"/>
      <c r="D262" s="17"/>
      <c r="E262" s="17"/>
      <c r="F262" s="17"/>
      <c r="G262" s="52"/>
      <c r="H262" s="17"/>
      <c r="I262" s="18"/>
      <c r="J262" s="1"/>
      <c r="K262" s="650"/>
      <c r="L262" s="376"/>
      <c r="M262" s="534"/>
      <c r="N262" s="296"/>
      <c r="O262" s="333"/>
      <c r="P262" s="333"/>
      <c r="Q262" s="333"/>
      <c r="R262" s="527"/>
      <c r="S262" s="527"/>
      <c r="T262" s="527"/>
      <c r="U262" s="326"/>
      <c r="V262" s="315"/>
      <c r="W262" s="1"/>
    </row>
    <row r="263" spans="1:23" ht="15.75" thickBot="1" x14ac:dyDescent="0.3">
      <c r="A263" s="1"/>
      <c r="B263" s="15"/>
      <c r="C263" s="514"/>
      <c r="D263" s="17"/>
      <c r="E263" s="17"/>
      <c r="F263" s="17"/>
      <c r="G263" s="52"/>
      <c r="H263" s="17"/>
      <c r="I263" s="18"/>
      <c r="J263" s="1"/>
      <c r="K263" s="650"/>
      <c r="L263" s="376"/>
      <c r="M263" s="26"/>
      <c r="N263" s="26" t="s">
        <v>408</v>
      </c>
      <c r="O263" s="486"/>
      <c r="P263" s="486"/>
      <c r="Q263" s="486"/>
      <c r="R263" s="56"/>
      <c r="S263" s="297"/>
      <c r="T263" s="645"/>
      <c r="U263" s="486"/>
      <c r="V263" s="315"/>
      <c r="W263" s="1"/>
    </row>
    <row r="264" spans="1:23" ht="15.75" thickBot="1" x14ac:dyDescent="0.3">
      <c r="A264" s="1"/>
      <c r="B264" s="15"/>
      <c r="C264" s="514"/>
      <c r="D264" s="17"/>
      <c r="E264" s="17"/>
      <c r="F264" s="17"/>
      <c r="G264" s="52"/>
      <c r="H264" s="17"/>
      <c r="I264" s="18"/>
      <c r="J264" s="1"/>
      <c r="K264" s="650"/>
      <c r="L264" s="376"/>
      <c r="M264" s="26"/>
      <c r="N264" s="26" t="s">
        <v>409</v>
      </c>
      <c r="O264" s="333"/>
      <c r="P264" s="333"/>
      <c r="Q264" s="333"/>
      <c r="R264" s="527"/>
      <c r="S264" s="527"/>
      <c r="T264" s="300" t="s">
        <v>378</v>
      </c>
      <c r="U264" s="505" t="s">
        <v>62</v>
      </c>
      <c r="V264" s="315"/>
      <c r="W264" s="1"/>
    </row>
    <row r="265" spans="1:23" x14ac:dyDescent="0.25">
      <c r="A265" s="1"/>
      <c r="B265" s="15"/>
      <c r="C265" s="514"/>
      <c r="D265" s="17"/>
      <c r="E265" s="17"/>
      <c r="F265" s="17"/>
      <c r="G265" s="52"/>
      <c r="H265" s="17"/>
      <c r="I265" s="18"/>
      <c r="J265" s="1"/>
      <c r="K265" s="650"/>
      <c r="L265" s="376"/>
      <c r="M265" s="26"/>
      <c r="N265" s="318"/>
      <c r="O265" s="333"/>
      <c r="P265" s="333"/>
      <c r="Q265" s="333"/>
      <c r="R265" s="527"/>
      <c r="S265" s="527"/>
      <c r="T265" s="527"/>
      <c r="U265" s="326"/>
      <c r="V265" s="315"/>
      <c r="W265" s="1"/>
    </row>
    <row r="266" spans="1:23" x14ac:dyDescent="0.25">
      <c r="A266" s="1"/>
      <c r="B266" s="15"/>
      <c r="C266" s="514"/>
      <c r="D266" s="17"/>
      <c r="E266" s="17"/>
      <c r="F266" s="17"/>
      <c r="G266" s="52"/>
      <c r="H266" s="17"/>
      <c r="I266" s="18"/>
      <c r="J266" s="1"/>
      <c r="K266" s="650"/>
      <c r="L266" s="376"/>
      <c r="M266" s="26"/>
      <c r="N266" s="333"/>
      <c r="O266" s="333"/>
      <c r="P266" s="333"/>
      <c r="Q266" s="333"/>
      <c r="R266" s="1039"/>
      <c r="S266" s="1039"/>
      <c r="T266" s="1039"/>
      <c r="U266" s="56"/>
      <c r="V266" s="315"/>
      <c r="W266" s="1"/>
    </row>
    <row r="267" spans="1:23" ht="15.75" thickBot="1" x14ac:dyDescent="0.3">
      <c r="A267" s="1"/>
      <c r="B267" s="45"/>
      <c r="C267" s="679"/>
      <c r="D267" s="85"/>
      <c r="E267" s="85"/>
      <c r="F267" s="85"/>
      <c r="G267" s="84"/>
      <c r="H267" s="85"/>
      <c r="I267" s="86"/>
      <c r="J267" s="1"/>
      <c r="K267" s="659"/>
      <c r="L267" s="389"/>
      <c r="M267" s="335"/>
      <c r="N267" s="336"/>
      <c r="O267" s="336"/>
      <c r="P267" s="336"/>
      <c r="Q267" s="336"/>
      <c r="R267" s="340"/>
      <c r="S267" s="340"/>
      <c r="T267" s="340"/>
      <c r="U267" s="334"/>
      <c r="V267" s="337"/>
      <c r="W267" s="1"/>
    </row>
    <row r="268" spans="1:23" x14ac:dyDescent="0.25">
      <c r="A268" s="1"/>
      <c r="B268" s="1"/>
      <c r="C268" s="629"/>
      <c r="D268" s="1"/>
      <c r="E268" s="1"/>
      <c r="F268" s="1"/>
      <c r="G268" s="1"/>
      <c r="H268" s="1"/>
      <c r="I268" s="1"/>
      <c r="J268" s="1"/>
      <c r="K268" s="663"/>
      <c r="L268" s="629"/>
      <c r="M268" s="2"/>
      <c r="N268" s="2"/>
      <c r="O268" s="1"/>
      <c r="P268" s="1"/>
      <c r="Q268" s="1"/>
      <c r="R268" s="1"/>
      <c r="S268" s="1"/>
      <c r="T268" s="2"/>
      <c r="U268" s="1"/>
      <c r="V268" s="1"/>
      <c r="W268" s="1"/>
    </row>
    <row r="269" spans="1:23" x14ac:dyDescent="0.25">
      <c r="A269" s="104"/>
      <c r="B269" s="104"/>
      <c r="C269" s="630"/>
      <c r="D269" s="104"/>
      <c r="E269" s="104"/>
      <c r="F269" s="104"/>
      <c r="G269" s="104"/>
      <c r="H269" s="104"/>
      <c r="I269" s="104"/>
      <c r="J269" s="104"/>
      <c r="K269" s="682"/>
      <c r="L269" s="630"/>
      <c r="M269" s="114"/>
      <c r="N269" s="114"/>
      <c r="O269" s="104"/>
      <c r="P269" s="104"/>
      <c r="Q269" s="104"/>
      <c r="R269" s="104"/>
      <c r="S269" s="104"/>
      <c r="T269" s="114"/>
      <c r="U269" s="104"/>
      <c r="V269" s="104"/>
      <c r="W269" s="104"/>
    </row>
    <row r="270" spans="1:23" x14ac:dyDescent="0.25">
      <c r="A270" s="104"/>
      <c r="B270" s="104"/>
      <c r="C270" s="630"/>
      <c r="D270" s="104"/>
      <c r="E270" s="104"/>
      <c r="F270" s="104"/>
      <c r="G270" s="104"/>
      <c r="H270" s="104"/>
      <c r="I270" s="104"/>
      <c r="J270" s="104"/>
      <c r="K270" s="682"/>
      <c r="L270" s="630"/>
      <c r="M270" s="114"/>
      <c r="N270" s="114"/>
      <c r="O270" s="104"/>
      <c r="P270" s="104"/>
      <c r="Q270" s="104"/>
      <c r="R270" s="104"/>
      <c r="S270" s="104"/>
      <c r="T270" s="114"/>
      <c r="U270" s="104"/>
      <c r="V270" s="104"/>
      <c r="W270" s="104"/>
    </row>
    <row r="271" spans="1:23" x14ac:dyDescent="0.25">
      <c r="B271" s="104"/>
      <c r="C271" s="630"/>
      <c r="D271" s="104"/>
      <c r="E271" s="104"/>
      <c r="F271" s="104"/>
      <c r="G271" s="104"/>
      <c r="H271" s="104"/>
      <c r="I271" s="104"/>
      <c r="J271" s="104"/>
      <c r="K271" s="682"/>
      <c r="L271" s="630"/>
      <c r="M271" s="114"/>
      <c r="N271" s="114"/>
      <c r="O271" s="104"/>
      <c r="P271" s="104"/>
      <c r="Q271" s="104"/>
      <c r="R271" s="104"/>
      <c r="S271" s="104"/>
      <c r="T271" s="114"/>
      <c r="U271" s="104"/>
      <c r="V271" s="104"/>
      <c r="W271" s="104"/>
    </row>
    <row r="272" spans="1:23" x14ac:dyDescent="0.25">
      <c r="B272" s="104"/>
      <c r="C272" s="630"/>
      <c r="D272" s="104"/>
      <c r="E272" s="104"/>
      <c r="F272" s="104"/>
      <c r="G272" s="104"/>
      <c r="H272" s="104"/>
      <c r="I272" s="104"/>
      <c r="J272" s="104"/>
      <c r="K272" s="682"/>
      <c r="L272" s="630"/>
      <c r="M272" s="114"/>
      <c r="N272" s="114"/>
      <c r="O272" s="104"/>
      <c r="P272" s="104"/>
      <c r="Q272" s="104"/>
      <c r="R272" s="104"/>
      <c r="S272" s="104"/>
      <c r="T272" s="114"/>
      <c r="U272" s="104"/>
      <c r="V272" s="104"/>
      <c r="W272" s="104"/>
    </row>
    <row r="273" spans="2:23" x14ac:dyDescent="0.25">
      <c r="B273" s="104"/>
      <c r="C273" s="630"/>
      <c r="D273" s="104"/>
      <c r="E273" s="104"/>
      <c r="F273" s="104"/>
      <c r="G273" s="104"/>
      <c r="H273" s="104"/>
      <c r="I273" s="104"/>
      <c r="J273" s="104"/>
      <c r="K273" s="682"/>
      <c r="L273" s="630"/>
      <c r="M273" s="114"/>
      <c r="N273" s="114"/>
      <c r="O273" s="104"/>
      <c r="P273" s="104"/>
      <c r="Q273" s="104"/>
      <c r="R273" s="104"/>
      <c r="S273" s="104"/>
      <c r="T273" s="114"/>
      <c r="U273" s="104"/>
      <c r="V273" s="104"/>
      <c r="W273" s="104"/>
    </row>
    <row r="274" spans="2:23" x14ac:dyDescent="0.25">
      <c r="B274" s="104"/>
      <c r="C274" s="630"/>
      <c r="D274" s="104"/>
      <c r="E274" s="104"/>
      <c r="F274" s="104"/>
      <c r="G274" s="104"/>
      <c r="H274" s="104"/>
      <c r="I274" s="104"/>
      <c r="J274" s="104"/>
      <c r="K274" s="682"/>
      <c r="L274" s="630"/>
      <c r="M274" s="114"/>
      <c r="N274" s="114"/>
      <c r="O274" s="104"/>
      <c r="P274" s="104"/>
      <c r="Q274" s="104"/>
      <c r="R274" s="104"/>
      <c r="S274" s="104"/>
      <c r="T274" s="114"/>
      <c r="U274" s="104"/>
      <c r="V274" s="104"/>
      <c r="W274" s="104"/>
    </row>
    <row r="275" spans="2:23" x14ac:dyDescent="0.25">
      <c r="B275" s="104"/>
      <c r="C275" s="630"/>
      <c r="D275" s="104"/>
      <c r="E275" s="104"/>
      <c r="F275" s="104"/>
      <c r="G275" s="104"/>
      <c r="H275" s="104"/>
      <c r="I275" s="104"/>
      <c r="J275" s="104"/>
      <c r="K275" s="682"/>
      <c r="L275" s="630"/>
      <c r="M275" s="114"/>
      <c r="N275" s="114"/>
      <c r="O275" s="104"/>
      <c r="P275" s="104"/>
      <c r="Q275" s="104"/>
      <c r="R275" s="104"/>
      <c r="S275" s="104"/>
      <c r="T275" s="114"/>
      <c r="U275" s="104"/>
      <c r="V275" s="104"/>
      <c r="W275" s="104"/>
    </row>
    <row r="276" spans="2:23" x14ac:dyDescent="0.25">
      <c r="B276" s="104"/>
      <c r="C276" s="630"/>
      <c r="D276" s="104"/>
      <c r="E276" s="104"/>
      <c r="F276" s="104"/>
      <c r="G276" s="104"/>
      <c r="H276" s="104"/>
      <c r="I276" s="104"/>
      <c r="J276" s="104"/>
      <c r="K276" s="682"/>
      <c r="L276" s="630"/>
      <c r="M276" s="114"/>
      <c r="N276" s="114"/>
      <c r="O276" s="104"/>
      <c r="P276" s="104"/>
      <c r="Q276" s="104"/>
      <c r="R276" s="104"/>
      <c r="S276" s="104"/>
      <c r="T276" s="114"/>
      <c r="U276" s="104"/>
      <c r="V276" s="104"/>
      <c r="W276" s="104"/>
    </row>
    <row r="277" spans="2:23" x14ac:dyDescent="0.25">
      <c r="B277" s="104"/>
      <c r="C277" s="630"/>
      <c r="I277" s="104"/>
      <c r="J277" s="104"/>
      <c r="K277" s="682"/>
      <c r="L277" s="630"/>
      <c r="M277" s="114"/>
      <c r="N277" s="114"/>
      <c r="O277" s="104"/>
      <c r="P277" s="104"/>
      <c r="Q277" s="104"/>
      <c r="R277" s="104"/>
      <c r="S277" s="104"/>
      <c r="T277" s="114"/>
      <c r="U277" s="104"/>
      <c r="V277" s="104"/>
      <c r="W277" s="104"/>
    </row>
    <row r="278" spans="2:23" x14ac:dyDescent="0.25">
      <c r="B278" s="104"/>
      <c r="C278" s="630"/>
      <c r="I278" s="104"/>
      <c r="J278" s="104"/>
      <c r="K278" s="682"/>
      <c r="L278" s="630"/>
      <c r="M278" s="114"/>
      <c r="N278" s="114"/>
      <c r="O278" s="104"/>
      <c r="P278" s="104"/>
      <c r="Q278" s="104"/>
      <c r="R278" s="104"/>
      <c r="S278" s="104"/>
      <c r="T278" s="114"/>
      <c r="U278" s="104"/>
      <c r="V278" s="104"/>
      <c r="W278" s="104"/>
    </row>
    <row r="279" spans="2:23" x14ac:dyDescent="0.25">
      <c r="B279" s="104"/>
      <c r="C279" s="630"/>
      <c r="D279" s="104"/>
      <c r="E279" s="104"/>
      <c r="F279" s="104"/>
      <c r="G279" s="104"/>
      <c r="H279" s="104"/>
      <c r="I279" s="104"/>
      <c r="J279" s="104"/>
      <c r="K279" s="682"/>
      <c r="L279" s="630"/>
      <c r="M279" s="114"/>
      <c r="N279" s="114"/>
      <c r="O279" s="104"/>
      <c r="P279" s="104"/>
      <c r="Q279" s="104"/>
      <c r="R279" s="104"/>
      <c r="S279" s="104"/>
      <c r="T279" s="114"/>
      <c r="U279" s="104"/>
      <c r="V279" s="104"/>
      <c r="W279" s="104"/>
    </row>
    <row r="280" spans="2:23" x14ac:dyDescent="0.25">
      <c r="B280" s="104"/>
      <c r="C280" s="630"/>
      <c r="D280" s="104"/>
      <c r="E280" s="104"/>
      <c r="F280" s="104"/>
      <c r="G280" s="104"/>
      <c r="H280" s="104"/>
      <c r="I280" s="104"/>
      <c r="J280" s="104"/>
      <c r="K280" s="682"/>
      <c r="L280" s="630"/>
      <c r="M280" s="114"/>
      <c r="N280" s="114"/>
      <c r="O280" s="104"/>
      <c r="P280" s="104"/>
      <c r="Q280" s="104"/>
      <c r="R280" s="104"/>
      <c r="S280" s="104"/>
      <c r="T280" s="114"/>
      <c r="U280" s="104"/>
      <c r="V280" s="104"/>
      <c r="W280" s="104"/>
    </row>
    <row r="281" spans="2:23" x14ac:dyDescent="0.25">
      <c r="B281" s="104"/>
      <c r="C281" s="630"/>
      <c r="D281" s="104"/>
      <c r="E281" s="104"/>
      <c r="F281" s="104"/>
      <c r="G281" s="104"/>
      <c r="H281" s="104"/>
      <c r="I281" s="104"/>
      <c r="J281" s="104"/>
      <c r="K281" s="682"/>
      <c r="L281" s="630"/>
      <c r="M281" s="114"/>
      <c r="N281" s="114"/>
      <c r="O281" s="104"/>
      <c r="P281" s="104"/>
      <c r="Q281" s="104"/>
      <c r="R281" s="104"/>
      <c r="S281" s="104"/>
      <c r="T281" s="114"/>
      <c r="U281" s="104"/>
      <c r="V281" s="104"/>
      <c r="W281" s="104"/>
    </row>
    <row r="282" spans="2:23" x14ac:dyDescent="0.25">
      <c r="B282" s="104"/>
      <c r="C282" s="630"/>
      <c r="D282" s="104"/>
      <c r="E282" s="104"/>
      <c r="F282" s="104"/>
      <c r="G282" s="104"/>
      <c r="H282" s="104"/>
      <c r="I282" s="104"/>
      <c r="J282" s="104"/>
      <c r="K282" s="682"/>
      <c r="L282" s="630"/>
      <c r="M282" s="114"/>
      <c r="N282" s="114"/>
      <c r="O282" s="104"/>
      <c r="P282" s="104"/>
      <c r="Q282" s="104"/>
      <c r="R282" s="104"/>
      <c r="S282" s="104"/>
      <c r="T282" s="114"/>
      <c r="U282" s="104"/>
      <c r="V282" s="104"/>
      <c r="W282" s="104"/>
    </row>
    <row r="283" spans="2:23" x14ac:dyDescent="0.25">
      <c r="B283" s="104"/>
      <c r="C283" s="630"/>
      <c r="D283" s="104"/>
      <c r="E283" s="104"/>
      <c r="F283" s="104"/>
      <c r="G283" s="104"/>
      <c r="H283" s="104"/>
      <c r="I283" s="104"/>
      <c r="J283" s="104"/>
      <c r="K283" s="682"/>
      <c r="L283" s="630"/>
      <c r="M283" s="114"/>
      <c r="N283" s="114"/>
      <c r="O283" s="104"/>
      <c r="P283" s="104"/>
      <c r="Q283" s="104"/>
      <c r="R283" s="104"/>
      <c r="S283" s="104"/>
      <c r="T283" s="114"/>
      <c r="U283" s="104"/>
      <c r="V283" s="104"/>
      <c r="W283" s="104"/>
    </row>
    <row r="284" spans="2:23" x14ac:dyDescent="0.25">
      <c r="B284" s="104"/>
      <c r="C284" s="630"/>
      <c r="D284" s="104"/>
      <c r="E284" s="104"/>
      <c r="F284" s="104"/>
      <c r="G284" s="104"/>
      <c r="H284" s="104"/>
      <c r="I284" s="104"/>
      <c r="J284" s="104"/>
      <c r="K284" s="682"/>
      <c r="L284" s="630"/>
      <c r="M284" s="114"/>
      <c r="N284" s="114"/>
      <c r="O284" s="104"/>
      <c r="P284" s="104"/>
      <c r="Q284" s="104"/>
      <c r="R284" s="104"/>
      <c r="S284" s="104"/>
      <c r="T284" s="114"/>
      <c r="U284" s="104"/>
      <c r="V284" s="104"/>
      <c r="W284" s="104"/>
    </row>
    <row r="285" spans="2:23" x14ac:dyDescent="0.25">
      <c r="B285" s="104"/>
      <c r="C285" s="630"/>
      <c r="D285" s="104"/>
      <c r="E285" s="104"/>
      <c r="F285" s="104"/>
      <c r="G285" s="104"/>
      <c r="H285" s="104"/>
      <c r="I285" s="104"/>
      <c r="J285" s="104"/>
      <c r="K285" s="682"/>
      <c r="L285" s="630"/>
      <c r="M285" s="114"/>
      <c r="N285" s="114"/>
      <c r="O285" s="104"/>
      <c r="P285" s="104"/>
      <c r="Q285" s="104"/>
      <c r="R285" s="104"/>
      <c r="S285" s="104"/>
      <c r="T285" s="114"/>
      <c r="U285" s="104"/>
      <c r="V285" s="104"/>
    </row>
    <row r="286" spans="2:23" x14ac:dyDescent="0.25">
      <c r="B286" s="104"/>
      <c r="C286" s="630"/>
      <c r="D286" s="104"/>
      <c r="E286" s="104"/>
      <c r="F286" s="104"/>
      <c r="G286" s="104"/>
      <c r="H286" s="104"/>
      <c r="I286" s="104"/>
      <c r="J286" s="104"/>
      <c r="K286" s="682"/>
      <c r="L286" s="630"/>
      <c r="M286" s="114"/>
      <c r="N286" s="114"/>
      <c r="O286" s="104"/>
      <c r="P286" s="104"/>
      <c r="Q286" s="104"/>
      <c r="R286" s="104"/>
      <c r="S286" s="104"/>
      <c r="T286" s="114"/>
      <c r="U286" s="104"/>
      <c r="V286" s="104"/>
    </row>
    <row r="287" spans="2:23" x14ac:dyDescent="0.25">
      <c r="B287" s="104"/>
      <c r="C287" s="630"/>
      <c r="D287" s="104"/>
      <c r="E287" s="104"/>
      <c r="F287" s="104"/>
      <c r="G287" s="104"/>
      <c r="H287" s="104"/>
      <c r="I287" s="104"/>
      <c r="J287" s="104"/>
      <c r="K287" s="682"/>
      <c r="L287" s="630"/>
      <c r="M287" s="114"/>
      <c r="N287" s="114"/>
      <c r="O287" s="104"/>
      <c r="P287" s="104"/>
      <c r="Q287" s="104"/>
      <c r="R287" s="104"/>
      <c r="S287" s="104"/>
      <c r="T287" s="114"/>
      <c r="U287" s="104"/>
      <c r="V287" s="104"/>
    </row>
    <row r="288" spans="2:23" x14ac:dyDescent="0.25">
      <c r="B288" s="104"/>
      <c r="C288" s="630"/>
      <c r="D288" s="104"/>
      <c r="E288" s="104"/>
      <c r="F288" s="104"/>
      <c r="G288" s="104"/>
      <c r="H288" s="104"/>
      <c r="I288" s="104"/>
      <c r="J288" s="104"/>
      <c r="K288" s="682"/>
      <c r="L288" s="630"/>
      <c r="M288" s="114"/>
      <c r="N288" s="114"/>
      <c r="O288" s="104"/>
      <c r="P288" s="104"/>
      <c r="Q288" s="104"/>
      <c r="R288" s="104"/>
      <c r="S288" s="104"/>
      <c r="T288" s="114"/>
      <c r="U288" s="104"/>
      <c r="V288" s="104"/>
    </row>
    <row r="289" spans="2:22" x14ac:dyDescent="0.25">
      <c r="B289" s="104"/>
      <c r="C289" s="630"/>
      <c r="D289" s="104"/>
      <c r="E289" s="104"/>
      <c r="F289" s="104"/>
      <c r="G289" s="104"/>
      <c r="H289" s="104"/>
      <c r="I289" s="104"/>
      <c r="J289" s="104"/>
      <c r="K289" s="682"/>
      <c r="L289" s="630"/>
      <c r="M289" s="114"/>
      <c r="N289" s="114"/>
      <c r="O289" s="104"/>
      <c r="P289" s="104"/>
      <c r="Q289" s="104"/>
      <c r="R289" s="104"/>
      <c r="S289" s="104"/>
      <c r="T289" s="114"/>
      <c r="U289" s="104"/>
      <c r="V289" s="104"/>
    </row>
    <row r="290" spans="2:22" x14ac:dyDescent="0.25">
      <c r="B290" s="104"/>
      <c r="C290" s="630"/>
      <c r="D290" s="104"/>
      <c r="E290" s="104"/>
      <c r="F290" s="104"/>
      <c r="G290" s="104"/>
      <c r="H290" s="104"/>
      <c r="I290" s="104"/>
      <c r="J290" s="104"/>
      <c r="K290" s="682"/>
      <c r="L290" s="630"/>
      <c r="M290" s="114"/>
      <c r="N290" s="114"/>
      <c r="O290" s="104"/>
      <c r="P290" s="104"/>
      <c r="Q290" s="104"/>
      <c r="R290" s="104"/>
      <c r="S290" s="104"/>
      <c r="T290" s="114"/>
      <c r="U290" s="104"/>
      <c r="V290" s="104"/>
    </row>
    <row r="291" spans="2:22" x14ac:dyDescent="0.25">
      <c r="B291" s="104"/>
      <c r="C291" s="630"/>
      <c r="D291" s="104"/>
      <c r="E291" s="104"/>
      <c r="F291" s="104"/>
      <c r="G291" s="104"/>
      <c r="H291" s="104"/>
      <c r="I291" s="104"/>
      <c r="J291" s="104"/>
      <c r="K291" s="682"/>
      <c r="L291" s="630"/>
      <c r="M291" s="114"/>
      <c r="N291" s="114"/>
      <c r="O291" s="104"/>
      <c r="P291" s="104"/>
      <c r="Q291" s="104"/>
      <c r="R291" s="104"/>
      <c r="S291" s="104"/>
      <c r="T291" s="114"/>
      <c r="U291" s="104"/>
      <c r="V291" s="104"/>
    </row>
    <row r="292" spans="2:22" x14ac:dyDescent="0.25">
      <c r="B292" s="104"/>
      <c r="C292" s="630"/>
      <c r="D292" s="104"/>
      <c r="E292" s="104"/>
      <c r="F292" s="104"/>
      <c r="G292" s="104"/>
      <c r="H292" s="104"/>
      <c r="I292" s="104"/>
      <c r="J292" s="104"/>
      <c r="K292" s="682"/>
      <c r="L292" s="630"/>
      <c r="M292" s="114"/>
      <c r="N292" s="114"/>
      <c r="O292" s="104"/>
      <c r="P292" s="104"/>
      <c r="Q292" s="104"/>
      <c r="R292" s="104"/>
      <c r="S292" s="104"/>
      <c r="T292" s="114"/>
      <c r="U292" s="104"/>
      <c r="V292" s="104"/>
    </row>
    <row r="293" spans="2:22" x14ac:dyDescent="0.25">
      <c r="B293" s="104"/>
      <c r="C293" s="630"/>
      <c r="D293" s="104"/>
      <c r="E293" s="104"/>
      <c r="F293" s="104"/>
      <c r="G293" s="104"/>
      <c r="H293" s="104"/>
      <c r="I293" s="104"/>
      <c r="J293" s="104"/>
      <c r="K293" s="682"/>
      <c r="L293" s="630"/>
      <c r="M293" s="114"/>
      <c r="N293" s="114"/>
      <c r="O293" s="104"/>
      <c r="P293" s="104"/>
      <c r="Q293" s="104"/>
      <c r="R293" s="104"/>
      <c r="S293" s="104"/>
      <c r="T293" s="114"/>
      <c r="U293" s="104"/>
      <c r="V293" s="104"/>
    </row>
    <row r="294" spans="2:22" x14ac:dyDescent="0.25">
      <c r="I294" s="104"/>
      <c r="J294" s="104"/>
      <c r="K294" s="682"/>
      <c r="L294" s="630"/>
      <c r="M294" s="114"/>
      <c r="N294" s="114"/>
      <c r="O294" s="104"/>
      <c r="P294" s="104"/>
      <c r="Q294" s="104"/>
      <c r="R294" s="104"/>
      <c r="S294" s="104"/>
      <c r="T294" s="114"/>
      <c r="U294" s="104"/>
      <c r="V294" s="104"/>
    </row>
    <row r="295" spans="2:22" x14ac:dyDescent="0.25">
      <c r="I295" s="104"/>
      <c r="J295" s="104"/>
      <c r="K295" s="682"/>
      <c r="M295" s="114"/>
      <c r="N295" s="114"/>
      <c r="O295" s="104"/>
      <c r="P295" s="104"/>
      <c r="Q295" s="104"/>
      <c r="R295" s="104"/>
      <c r="S295" s="104"/>
      <c r="T295" s="114"/>
      <c r="U295" s="104"/>
      <c r="V295" s="104"/>
    </row>
    <row r="296" spans="2:22" x14ac:dyDescent="0.25">
      <c r="I296" s="104"/>
      <c r="J296" s="104"/>
      <c r="K296" s="682"/>
      <c r="M296" s="115"/>
    </row>
    <row r="297" spans="2:22" x14ac:dyDescent="0.25">
      <c r="I297" s="104"/>
      <c r="J297" s="104"/>
      <c r="K297" s="682"/>
    </row>
    <row r="298" spans="2:22" x14ac:dyDescent="0.25">
      <c r="I298" s="104"/>
      <c r="J298" s="104"/>
      <c r="K298" s="682"/>
    </row>
    <row r="299" spans="2:22" x14ac:dyDescent="0.25">
      <c r="I299" s="104"/>
      <c r="J299" s="104"/>
      <c r="K299" s="682"/>
    </row>
    <row r="300" spans="2:22" x14ac:dyDescent="0.25">
      <c r="I300" s="104"/>
      <c r="J300" s="104"/>
      <c r="K300" s="682"/>
    </row>
    <row r="301" spans="2:22" x14ac:dyDescent="0.25">
      <c r="I301" s="104"/>
      <c r="J301" s="104"/>
      <c r="K301" s="682"/>
    </row>
    <row r="302" spans="2:22" x14ac:dyDescent="0.25">
      <c r="I302" s="104"/>
      <c r="J302" s="104"/>
      <c r="K302" s="682"/>
    </row>
    <row r="303" spans="2:22" x14ac:dyDescent="0.25">
      <c r="I303" s="104"/>
      <c r="J303" s="104"/>
      <c r="K303" s="682"/>
    </row>
    <row r="304" spans="2:22" x14ac:dyDescent="0.25">
      <c r="I304" s="104"/>
      <c r="J304" s="104"/>
      <c r="K304" s="682"/>
    </row>
    <row r="305" spans="9:11" x14ac:dyDescent="0.25">
      <c r="I305" s="104"/>
      <c r="J305" s="104"/>
      <c r="K305" s="682"/>
    </row>
    <row r="306" spans="9:11" x14ac:dyDescent="0.25">
      <c r="I306" s="104"/>
      <c r="J306" s="104"/>
      <c r="K306" s="682"/>
    </row>
    <row r="307" spans="9:11" x14ac:dyDescent="0.25">
      <c r="I307" s="104"/>
      <c r="J307" s="104"/>
      <c r="K307" s="682"/>
    </row>
    <row r="308" spans="9:11" x14ac:dyDescent="0.25">
      <c r="I308" s="104"/>
      <c r="J308" s="104"/>
      <c r="K308" s="682"/>
    </row>
    <row r="309" spans="9:11" x14ac:dyDescent="0.25">
      <c r="I309" s="104"/>
      <c r="J309" s="104"/>
      <c r="K309" s="682"/>
    </row>
    <row r="310" spans="9:11" x14ac:dyDescent="0.25">
      <c r="I310" s="104"/>
      <c r="J310" s="104"/>
      <c r="K310" s="682"/>
    </row>
    <row r="311" spans="9:11" x14ac:dyDescent="0.25">
      <c r="I311" s="104"/>
      <c r="J311" s="104"/>
      <c r="K311" s="682"/>
    </row>
    <row r="312" spans="9:11" x14ac:dyDescent="0.25">
      <c r="I312" s="104"/>
      <c r="J312" s="104"/>
      <c r="K312" s="682"/>
    </row>
    <row r="313" spans="9:11" x14ac:dyDescent="0.25">
      <c r="I313" s="104"/>
      <c r="J313" s="104"/>
      <c r="K313" s="682"/>
    </row>
    <row r="314" spans="9:11" x14ac:dyDescent="0.25">
      <c r="I314" s="104"/>
      <c r="J314" s="104"/>
      <c r="K314" s="682"/>
    </row>
    <row r="315" spans="9:11" x14ac:dyDescent="0.25">
      <c r="I315" s="104"/>
      <c r="J315" s="104"/>
      <c r="K315" s="682"/>
    </row>
    <row r="316" spans="9:11" x14ac:dyDescent="0.25">
      <c r="I316" s="104"/>
      <c r="J316" s="104"/>
      <c r="K316" s="682"/>
    </row>
    <row r="317" spans="9:11" x14ac:dyDescent="0.25">
      <c r="I317" s="104"/>
      <c r="J317" s="104"/>
      <c r="K317" s="682"/>
    </row>
    <row r="318" spans="9:11" x14ac:dyDescent="0.25">
      <c r="I318" s="104"/>
      <c r="J318" s="104"/>
      <c r="K318" s="682"/>
    </row>
    <row r="319" spans="9:11" x14ac:dyDescent="0.25">
      <c r="I319" s="104"/>
      <c r="J319" s="104"/>
      <c r="K319" s="682"/>
    </row>
    <row r="320" spans="9:11" x14ac:dyDescent="0.25">
      <c r="I320" s="104"/>
      <c r="J320" s="104"/>
      <c r="K320" s="682"/>
    </row>
    <row r="321" spans="9:11" x14ac:dyDescent="0.25">
      <c r="I321" s="104"/>
      <c r="J321" s="104"/>
      <c r="K321" s="682"/>
    </row>
    <row r="322" spans="9:11" x14ac:dyDescent="0.25">
      <c r="I322" s="104"/>
      <c r="J322" s="104"/>
      <c r="K322" s="682"/>
    </row>
    <row r="323" spans="9:11" x14ac:dyDescent="0.25">
      <c r="I323" s="104"/>
      <c r="J323" s="104"/>
      <c r="K323" s="682"/>
    </row>
    <row r="324" spans="9:11" x14ac:dyDescent="0.25">
      <c r="I324" s="104"/>
      <c r="J324" s="104"/>
      <c r="K324" s="682"/>
    </row>
    <row r="325" spans="9:11" x14ac:dyDescent="0.25">
      <c r="I325" s="104"/>
      <c r="J325" s="104"/>
      <c r="K325" s="682"/>
    </row>
    <row r="326" spans="9:11" x14ac:dyDescent="0.25">
      <c r="I326" s="104"/>
      <c r="J326" s="104"/>
      <c r="K326" s="682"/>
    </row>
    <row r="327" spans="9:11" x14ac:dyDescent="0.25">
      <c r="I327" s="104"/>
      <c r="J327" s="104"/>
      <c r="K327" s="682"/>
    </row>
    <row r="328" spans="9:11" x14ac:dyDescent="0.25">
      <c r="I328" s="104"/>
      <c r="J328" s="104"/>
      <c r="K328" s="682"/>
    </row>
    <row r="329" spans="9:11" x14ac:dyDescent="0.25">
      <c r="I329" s="104"/>
      <c r="J329" s="104"/>
      <c r="K329" s="682"/>
    </row>
    <row r="330" spans="9:11" x14ac:dyDescent="0.25">
      <c r="I330" s="104"/>
      <c r="J330" s="104"/>
      <c r="K330" s="682"/>
    </row>
    <row r="331" spans="9:11" x14ac:dyDescent="0.25">
      <c r="I331" s="104"/>
      <c r="J331" s="104"/>
      <c r="K331" s="682"/>
    </row>
    <row r="332" spans="9:11" x14ac:dyDescent="0.25">
      <c r="I332" s="104"/>
      <c r="J332" s="104"/>
      <c r="K332" s="682"/>
    </row>
    <row r="333" spans="9:11" x14ac:dyDescent="0.25">
      <c r="I333" s="104"/>
      <c r="J333" s="104"/>
      <c r="K333" s="682"/>
    </row>
    <row r="334" spans="9:11" x14ac:dyDescent="0.25">
      <c r="I334" s="104"/>
      <c r="J334" s="104"/>
      <c r="K334" s="682"/>
    </row>
    <row r="335" spans="9:11" x14ac:dyDescent="0.25">
      <c r="I335" s="104"/>
      <c r="J335" s="104"/>
      <c r="K335" s="682"/>
    </row>
    <row r="336" spans="9:11" x14ac:dyDescent="0.25">
      <c r="I336" s="104"/>
      <c r="J336" s="104"/>
      <c r="K336" s="682"/>
    </row>
    <row r="337" spans="9:11" x14ac:dyDescent="0.25">
      <c r="I337" s="104"/>
      <c r="J337" s="104"/>
      <c r="K337" s="682"/>
    </row>
    <row r="338" spans="9:11" x14ac:dyDescent="0.25">
      <c r="I338" s="104"/>
      <c r="J338" s="104"/>
      <c r="K338" s="682"/>
    </row>
    <row r="339" spans="9:11" x14ac:dyDescent="0.25">
      <c r="I339" s="104"/>
      <c r="J339" s="104"/>
      <c r="K339" s="682"/>
    </row>
    <row r="340" spans="9:11" x14ac:dyDescent="0.25">
      <c r="I340" s="104"/>
      <c r="J340" s="104"/>
      <c r="K340" s="682"/>
    </row>
    <row r="341" spans="9:11" x14ac:dyDescent="0.25">
      <c r="I341" s="104"/>
      <c r="J341" s="104"/>
      <c r="K341" s="682"/>
    </row>
    <row r="342" spans="9:11" x14ac:dyDescent="0.25">
      <c r="I342" s="104"/>
      <c r="J342" s="104"/>
      <c r="K342" s="682"/>
    </row>
    <row r="343" spans="9:11" x14ac:dyDescent="0.25">
      <c r="I343" s="104"/>
      <c r="J343" s="104"/>
      <c r="K343" s="682"/>
    </row>
    <row r="344" spans="9:11" x14ac:dyDescent="0.25">
      <c r="I344" s="104"/>
      <c r="J344" s="104"/>
      <c r="K344" s="682"/>
    </row>
    <row r="345" spans="9:11" x14ac:dyDescent="0.25">
      <c r="I345" s="104"/>
      <c r="J345" s="104"/>
      <c r="K345" s="682"/>
    </row>
    <row r="346" spans="9:11" x14ac:dyDescent="0.25">
      <c r="I346" s="104"/>
      <c r="J346" s="104"/>
      <c r="K346" s="682"/>
    </row>
    <row r="347" spans="9:11" x14ac:dyDescent="0.25">
      <c r="I347" s="104"/>
      <c r="J347" s="104"/>
      <c r="K347" s="682"/>
    </row>
    <row r="348" spans="9:11" x14ac:dyDescent="0.25">
      <c r="I348" s="104"/>
      <c r="J348" s="104"/>
      <c r="K348" s="682"/>
    </row>
    <row r="349" spans="9:11" x14ac:dyDescent="0.25">
      <c r="I349" s="104"/>
      <c r="J349" s="104"/>
      <c r="K349" s="682"/>
    </row>
    <row r="350" spans="9:11" x14ac:dyDescent="0.25">
      <c r="I350" s="104"/>
      <c r="J350" s="104"/>
      <c r="K350" s="682"/>
    </row>
    <row r="351" spans="9:11" x14ac:dyDescent="0.25">
      <c r="I351" s="104"/>
      <c r="J351" s="104"/>
      <c r="K351" s="682"/>
    </row>
    <row r="352" spans="9:11" x14ac:dyDescent="0.25">
      <c r="I352" s="104"/>
      <c r="J352" s="104"/>
      <c r="K352" s="682"/>
    </row>
    <row r="353" spans="9:11" x14ac:dyDescent="0.25">
      <c r="I353" s="104"/>
      <c r="J353" s="104"/>
      <c r="K353" s="682"/>
    </row>
    <row r="354" spans="9:11" x14ac:dyDescent="0.25">
      <c r="I354" s="104"/>
      <c r="J354" s="104"/>
      <c r="K354" s="682"/>
    </row>
    <row r="355" spans="9:11" x14ac:dyDescent="0.25">
      <c r="I355" s="104"/>
      <c r="J355" s="104"/>
      <c r="K355" s="682"/>
    </row>
    <row r="356" spans="9:11" x14ac:dyDescent="0.25">
      <c r="I356" s="104"/>
      <c r="J356" s="104"/>
      <c r="K356" s="682"/>
    </row>
    <row r="357" spans="9:11" x14ac:dyDescent="0.25">
      <c r="I357" s="104"/>
      <c r="J357" s="104"/>
      <c r="K357" s="682"/>
    </row>
    <row r="358" spans="9:11" x14ac:dyDescent="0.25">
      <c r="I358" s="104"/>
      <c r="J358" s="104"/>
      <c r="K358" s="682"/>
    </row>
    <row r="359" spans="9:11" x14ac:dyDescent="0.25">
      <c r="I359" s="104"/>
      <c r="J359" s="104"/>
      <c r="K359" s="682"/>
    </row>
    <row r="360" spans="9:11" x14ac:dyDescent="0.25">
      <c r="I360" s="104"/>
      <c r="J360" s="104"/>
      <c r="K360" s="682"/>
    </row>
    <row r="361" spans="9:11" x14ac:dyDescent="0.25">
      <c r="I361" s="104"/>
      <c r="J361" s="104"/>
      <c r="K361" s="682"/>
    </row>
    <row r="362" spans="9:11" x14ac:dyDescent="0.25">
      <c r="I362" s="104"/>
      <c r="J362" s="104"/>
      <c r="K362" s="682"/>
    </row>
    <row r="363" spans="9:11" x14ac:dyDescent="0.25">
      <c r="I363" s="104"/>
      <c r="J363" s="104"/>
      <c r="K363" s="682"/>
    </row>
    <row r="364" spans="9:11" x14ac:dyDescent="0.25">
      <c r="I364" s="104"/>
      <c r="J364" s="104"/>
      <c r="K364" s="682"/>
    </row>
    <row r="365" spans="9:11" x14ac:dyDescent="0.25">
      <c r="I365" s="104"/>
      <c r="J365" s="104"/>
      <c r="K365" s="682"/>
    </row>
    <row r="366" spans="9:11" x14ac:dyDescent="0.25">
      <c r="I366" s="104"/>
      <c r="J366" s="104"/>
      <c r="K366" s="682"/>
    </row>
    <row r="367" spans="9:11" x14ac:dyDescent="0.25">
      <c r="I367" s="104"/>
      <c r="J367" s="104"/>
      <c r="K367" s="682"/>
    </row>
    <row r="368" spans="9:11" x14ac:dyDescent="0.25">
      <c r="I368" s="104"/>
      <c r="J368" s="104"/>
      <c r="K368" s="682"/>
    </row>
    <row r="369" spans="9:11" x14ac:dyDescent="0.25">
      <c r="I369" s="104"/>
      <c r="J369" s="104"/>
      <c r="K369" s="682"/>
    </row>
    <row r="370" spans="9:11" x14ac:dyDescent="0.25">
      <c r="I370" s="104"/>
      <c r="J370" s="104"/>
      <c r="K370" s="682"/>
    </row>
    <row r="371" spans="9:11" x14ac:dyDescent="0.25">
      <c r="I371" s="104"/>
      <c r="J371" s="104"/>
      <c r="K371" s="682"/>
    </row>
    <row r="372" spans="9:11" x14ac:dyDescent="0.25">
      <c r="I372" s="104"/>
      <c r="J372" s="104"/>
      <c r="K372" s="682"/>
    </row>
    <row r="373" spans="9:11" x14ac:dyDescent="0.25">
      <c r="I373" s="104"/>
      <c r="J373" s="104"/>
      <c r="K373" s="682"/>
    </row>
    <row r="374" spans="9:11" x14ac:dyDescent="0.25">
      <c r="I374" s="104"/>
      <c r="J374" s="104"/>
      <c r="K374" s="682"/>
    </row>
    <row r="375" spans="9:11" x14ac:dyDescent="0.25">
      <c r="I375" s="104"/>
      <c r="J375" s="104"/>
      <c r="K375" s="682"/>
    </row>
    <row r="376" spans="9:11" x14ac:dyDescent="0.25">
      <c r="I376" s="104"/>
      <c r="J376" s="104"/>
      <c r="K376" s="682"/>
    </row>
    <row r="377" spans="9:11" x14ac:dyDescent="0.25">
      <c r="I377" s="104"/>
      <c r="J377" s="104"/>
      <c r="K377" s="682"/>
    </row>
    <row r="378" spans="9:11" x14ac:dyDescent="0.25">
      <c r="I378" s="104"/>
      <c r="J378" s="104"/>
      <c r="K378" s="682"/>
    </row>
    <row r="379" spans="9:11" x14ac:dyDescent="0.25">
      <c r="I379" s="104"/>
      <c r="J379" s="104"/>
      <c r="K379" s="682"/>
    </row>
    <row r="380" spans="9:11" x14ac:dyDescent="0.25">
      <c r="I380" s="104"/>
      <c r="J380" s="104"/>
      <c r="K380" s="682"/>
    </row>
    <row r="381" spans="9:11" x14ac:dyDescent="0.25">
      <c r="I381" s="104"/>
      <c r="J381" s="104"/>
      <c r="K381" s="682"/>
    </row>
    <row r="382" spans="9:11" x14ac:dyDescent="0.25">
      <c r="I382" s="104"/>
      <c r="J382" s="104"/>
      <c r="K382" s="682"/>
    </row>
    <row r="383" spans="9:11" x14ac:dyDescent="0.25">
      <c r="I383" s="104"/>
      <c r="J383" s="104"/>
      <c r="K383" s="682"/>
    </row>
    <row r="384" spans="9:11" x14ac:dyDescent="0.25">
      <c r="I384" s="104"/>
      <c r="J384" s="104"/>
      <c r="K384" s="682"/>
    </row>
    <row r="385" spans="9:11" x14ac:dyDescent="0.25">
      <c r="I385" s="104"/>
      <c r="J385" s="104"/>
      <c r="K385" s="682"/>
    </row>
    <row r="386" spans="9:11" x14ac:dyDescent="0.25">
      <c r="I386" s="104"/>
      <c r="J386" s="104"/>
      <c r="K386" s="682"/>
    </row>
    <row r="387" spans="9:11" x14ac:dyDescent="0.25">
      <c r="I387" s="104"/>
      <c r="J387" s="104"/>
      <c r="K387" s="682"/>
    </row>
    <row r="388" spans="9:11" x14ac:dyDescent="0.25">
      <c r="I388" s="104"/>
      <c r="J388" s="104"/>
      <c r="K388" s="682"/>
    </row>
    <row r="389" spans="9:11" x14ac:dyDescent="0.25">
      <c r="I389" s="104"/>
      <c r="J389" s="104"/>
      <c r="K389" s="682"/>
    </row>
    <row r="390" spans="9:11" x14ac:dyDescent="0.25">
      <c r="I390" s="104"/>
      <c r="J390" s="104"/>
      <c r="K390" s="682"/>
    </row>
    <row r="391" spans="9:11" x14ac:dyDescent="0.25">
      <c r="I391" s="104"/>
      <c r="J391" s="104"/>
      <c r="K391" s="682"/>
    </row>
    <row r="392" spans="9:11" x14ac:dyDescent="0.25">
      <c r="I392" s="104"/>
      <c r="J392" s="104"/>
      <c r="K392" s="682"/>
    </row>
    <row r="393" spans="9:11" x14ac:dyDescent="0.25">
      <c r="I393" s="104"/>
      <c r="J393" s="104"/>
      <c r="K393" s="682"/>
    </row>
    <row r="394" spans="9:11" x14ac:dyDescent="0.25">
      <c r="I394" s="104"/>
      <c r="J394" s="104"/>
      <c r="K394" s="682"/>
    </row>
    <row r="395" spans="9:11" x14ac:dyDescent="0.25">
      <c r="I395" s="104"/>
      <c r="J395" s="104"/>
      <c r="K395" s="682"/>
    </row>
    <row r="396" spans="9:11" x14ac:dyDescent="0.25">
      <c r="I396" s="104"/>
      <c r="J396" s="104"/>
      <c r="K396" s="682"/>
    </row>
    <row r="397" spans="9:11" x14ac:dyDescent="0.25">
      <c r="I397" s="104"/>
      <c r="J397" s="104"/>
      <c r="K397" s="682"/>
    </row>
    <row r="398" spans="9:11" x14ac:dyDescent="0.25">
      <c r="I398" s="104"/>
      <c r="J398" s="104"/>
      <c r="K398" s="682"/>
    </row>
    <row r="399" spans="9:11" x14ac:dyDescent="0.25">
      <c r="I399" s="104"/>
      <c r="J399" s="104"/>
      <c r="K399" s="682"/>
    </row>
    <row r="400" spans="9:11" x14ac:dyDescent="0.25">
      <c r="I400" s="104"/>
      <c r="J400" s="104"/>
      <c r="K400" s="682"/>
    </row>
    <row r="401" spans="9:11" x14ac:dyDescent="0.25">
      <c r="I401" s="104"/>
      <c r="J401" s="104"/>
      <c r="K401" s="682"/>
    </row>
    <row r="402" spans="9:11" x14ac:dyDescent="0.25">
      <c r="I402" s="104"/>
      <c r="J402" s="104"/>
      <c r="K402" s="682"/>
    </row>
    <row r="403" spans="9:11" x14ac:dyDescent="0.25">
      <c r="I403" s="104"/>
      <c r="J403" s="104"/>
      <c r="K403" s="682"/>
    </row>
    <row r="404" spans="9:11" x14ac:dyDescent="0.25">
      <c r="I404" s="104"/>
      <c r="J404" s="104"/>
      <c r="K404" s="682"/>
    </row>
    <row r="405" spans="9:11" x14ac:dyDescent="0.25">
      <c r="I405" s="104"/>
      <c r="J405" s="104"/>
      <c r="K405" s="682"/>
    </row>
    <row r="406" spans="9:11" x14ac:dyDescent="0.25">
      <c r="I406" s="104"/>
      <c r="J406" s="104"/>
      <c r="K406" s="682"/>
    </row>
    <row r="407" spans="9:11" x14ac:dyDescent="0.25">
      <c r="I407" s="104"/>
      <c r="J407" s="104"/>
      <c r="K407" s="682"/>
    </row>
    <row r="408" spans="9:11" x14ac:dyDescent="0.25">
      <c r="I408" s="104"/>
      <c r="J408" s="104"/>
      <c r="K408" s="682"/>
    </row>
    <row r="409" spans="9:11" x14ac:dyDescent="0.25">
      <c r="I409" s="104"/>
      <c r="J409" s="104"/>
      <c r="K409" s="682"/>
    </row>
    <row r="410" spans="9:11" x14ac:dyDescent="0.25">
      <c r="I410" s="104"/>
      <c r="J410" s="104"/>
      <c r="K410" s="682"/>
    </row>
    <row r="411" spans="9:11" x14ac:dyDescent="0.25">
      <c r="I411" s="104"/>
      <c r="J411" s="104"/>
      <c r="K411" s="682"/>
    </row>
    <row r="412" spans="9:11" x14ac:dyDescent="0.25">
      <c r="I412" s="104"/>
      <c r="J412" s="104"/>
      <c r="K412" s="682"/>
    </row>
    <row r="413" spans="9:11" x14ac:dyDescent="0.25">
      <c r="I413" s="104"/>
      <c r="J413" s="104"/>
      <c r="K413" s="682"/>
    </row>
    <row r="414" spans="9:11" x14ac:dyDescent="0.25">
      <c r="I414" s="104"/>
      <c r="J414" s="104"/>
      <c r="K414" s="682"/>
    </row>
    <row r="415" spans="9:11" x14ac:dyDescent="0.25">
      <c r="I415" s="104"/>
      <c r="J415" s="104"/>
      <c r="K415" s="682"/>
    </row>
    <row r="416" spans="9:11" x14ac:dyDescent="0.25">
      <c r="I416" s="104"/>
      <c r="J416" s="104"/>
      <c r="K416" s="682"/>
    </row>
    <row r="417" spans="9:11" x14ac:dyDescent="0.25">
      <c r="I417" s="104"/>
      <c r="J417" s="104"/>
      <c r="K417" s="682"/>
    </row>
    <row r="418" spans="9:11" x14ac:dyDescent="0.25">
      <c r="I418" s="104"/>
      <c r="J418" s="104"/>
      <c r="K418" s="682"/>
    </row>
    <row r="419" spans="9:11" x14ac:dyDescent="0.25">
      <c r="I419" s="104"/>
      <c r="J419" s="104"/>
      <c r="K419" s="682"/>
    </row>
    <row r="420" spans="9:11" x14ac:dyDescent="0.25">
      <c r="I420" s="104"/>
      <c r="J420" s="104"/>
      <c r="K420" s="682"/>
    </row>
    <row r="421" spans="9:11" x14ac:dyDescent="0.25">
      <c r="I421" s="104"/>
      <c r="J421" s="104"/>
      <c r="K421" s="682"/>
    </row>
    <row r="422" spans="9:11" x14ac:dyDescent="0.25">
      <c r="I422" s="104"/>
      <c r="J422" s="104"/>
      <c r="K422" s="682"/>
    </row>
    <row r="423" spans="9:11" x14ac:dyDescent="0.25">
      <c r="I423" s="104"/>
      <c r="J423" s="104"/>
      <c r="K423" s="682"/>
    </row>
    <row r="424" spans="9:11" x14ac:dyDescent="0.25">
      <c r="I424" s="104"/>
      <c r="J424" s="104"/>
      <c r="K424" s="682"/>
    </row>
    <row r="425" spans="9:11" x14ac:dyDescent="0.25">
      <c r="I425" s="104"/>
      <c r="J425" s="104"/>
      <c r="K425" s="682"/>
    </row>
    <row r="426" spans="9:11" x14ac:dyDescent="0.25">
      <c r="I426" s="104"/>
      <c r="J426" s="104"/>
      <c r="K426" s="682"/>
    </row>
    <row r="427" spans="9:11" x14ac:dyDescent="0.25">
      <c r="I427" s="104"/>
      <c r="J427" s="104"/>
      <c r="K427" s="682"/>
    </row>
    <row r="428" spans="9:11" x14ac:dyDescent="0.25">
      <c r="I428" s="104"/>
      <c r="J428" s="104"/>
      <c r="K428" s="682"/>
    </row>
    <row r="429" spans="9:11" x14ac:dyDescent="0.25">
      <c r="I429" s="104"/>
      <c r="J429" s="104"/>
      <c r="K429" s="682"/>
    </row>
    <row r="430" spans="9:11" x14ac:dyDescent="0.25">
      <c r="I430" s="104"/>
      <c r="J430" s="104"/>
      <c r="K430" s="682"/>
    </row>
    <row r="431" spans="9:11" x14ac:dyDescent="0.25">
      <c r="I431" s="104"/>
      <c r="J431" s="104"/>
      <c r="K431" s="682"/>
    </row>
    <row r="432" spans="9:11" x14ac:dyDescent="0.25">
      <c r="I432" s="104"/>
      <c r="J432" s="104"/>
      <c r="K432" s="682"/>
    </row>
    <row r="433" spans="9:11" x14ac:dyDescent="0.25">
      <c r="I433" s="104"/>
      <c r="J433" s="104"/>
      <c r="K433" s="682"/>
    </row>
    <row r="434" spans="9:11" x14ac:dyDescent="0.25">
      <c r="I434" s="104"/>
      <c r="J434" s="104"/>
      <c r="K434" s="682"/>
    </row>
    <row r="435" spans="9:11" x14ac:dyDescent="0.25">
      <c r="I435" s="104"/>
      <c r="J435" s="104"/>
      <c r="K435" s="682"/>
    </row>
    <row r="436" spans="9:11" x14ac:dyDescent="0.25">
      <c r="I436" s="104"/>
      <c r="J436" s="104"/>
      <c r="K436" s="682"/>
    </row>
    <row r="437" spans="9:11" x14ac:dyDescent="0.25">
      <c r="I437" s="104"/>
      <c r="J437" s="104"/>
      <c r="K437" s="682"/>
    </row>
    <row r="438" spans="9:11" x14ac:dyDescent="0.25">
      <c r="I438" s="104"/>
      <c r="J438" s="104"/>
      <c r="K438" s="682"/>
    </row>
    <row r="439" spans="9:11" x14ac:dyDescent="0.25">
      <c r="I439" s="104"/>
      <c r="J439" s="104"/>
      <c r="K439" s="682"/>
    </row>
    <row r="440" spans="9:11" x14ac:dyDescent="0.25">
      <c r="I440" s="104"/>
      <c r="J440" s="104"/>
      <c r="K440" s="682"/>
    </row>
    <row r="441" spans="9:11" x14ac:dyDescent="0.25">
      <c r="I441" s="104"/>
      <c r="J441" s="104"/>
      <c r="K441" s="682"/>
    </row>
    <row r="442" spans="9:11" x14ac:dyDescent="0.25">
      <c r="I442" s="104"/>
      <c r="J442" s="104"/>
      <c r="K442" s="682"/>
    </row>
    <row r="443" spans="9:11" x14ac:dyDescent="0.25">
      <c r="I443" s="104"/>
      <c r="J443" s="104"/>
      <c r="K443" s="682"/>
    </row>
    <row r="444" spans="9:11" x14ac:dyDescent="0.25">
      <c r="I444" s="104"/>
      <c r="J444" s="104"/>
      <c r="K444" s="682"/>
    </row>
    <row r="445" spans="9:11" x14ac:dyDescent="0.25">
      <c r="I445" s="104"/>
      <c r="J445" s="104"/>
      <c r="K445" s="682"/>
    </row>
    <row r="446" spans="9:11" x14ac:dyDescent="0.25">
      <c r="I446" s="104"/>
      <c r="J446" s="104"/>
      <c r="K446" s="682"/>
    </row>
    <row r="447" spans="9:11" x14ac:dyDescent="0.25">
      <c r="I447" s="104"/>
      <c r="J447" s="104"/>
      <c r="K447" s="682"/>
    </row>
    <row r="448" spans="9:11" x14ac:dyDescent="0.25">
      <c r="I448" s="104"/>
      <c r="J448" s="104"/>
      <c r="K448" s="682"/>
    </row>
    <row r="449" spans="9:11" x14ac:dyDescent="0.25">
      <c r="I449" s="104"/>
      <c r="J449" s="104"/>
      <c r="K449" s="682"/>
    </row>
    <row r="450" spans="9:11" x14ac:dyDescent="0.25">
      <c r="I450" s="104"/>
      <c r="J450" s="104"/>
      <c r="K450" s="682"/>
    </row>
    <row r="451" spans="9:11" x14ac:dyDescent="0.25">
      <c r="I451" s="104"/>
      <c r="J451" s="104"/>
      <c r="K451" s="682"/>
    </row>
    <row r="452" spans="9:11" x14ac:dyDescent="0.25">
      <c r="I452" s="104"/>
      <c r="J452" s="104"/>
      <c r="K452" s="682"/>
    </row>
    <row r="453" spans="9:11" x14ac:dyDescent="0.25">
      <c r="I453" s="104"/>
      <c r="J453" s="104"/>
      <c r="K453" s="682"/>
    </row>
    <row r="454" spans="9:11" x14ac:dyDescent="0.25">
      <c r="I454" s="104"/>
      <c r="J454" s="104"/>
      <c r="K454" s="682"/>
    </row>
    <row r="455" spans="9:11" x14ac:dyDescent="0.25">
      <c r="I455" s="104"/>
      <c r="J455" s="104"/>
      <c r="K455" s="682"/>
    </row>
    <row r="456" spans="9:11" x14ac:dyDescent="0.25">
      <c r="I456" s="104"/>
      <c r="J456" s="104"/>
      <c r="K456" s="682"/>
    </row>
    <row r="457" spans="9:11" x14ac:dyDescent="0.25">
      <c r="I457" s="104"/>
      <c r="J457" s="104"/>
      <c r="K457" s="682"/>
    </row>
    <row r="458" spans="9:11" x14ac:dyDescent="0.25">
      <c r="I458" s="104"/>
      <c r="J458" s="104"/>
      <c r="K458" s="682"/>
    </row>
    <row r="459" spans="9:11" x14ac:dyDescent="0.25">
      <c r="I459" s="104"/>
      <c r="J459" s="104"/>
      <c r="K459" s="682"/>
    </row>
    <row r="460" spans="9:11" x14ac:dyDescent="0.25">
      <c r="I460" s="104"/>
      <c r="J460" s="104"/>
      <c r="K460" s="682"/>
    </row>
    <row r="461" spans="9:11" x14ac:dyDescent="0.25">
      <c r="I461" s="104"/>
      <c r="J461" s="104"/>
      <c r="K461" s="682"/>
    </row>
    <row r="462" spans="9:11" x14ac:dyDescent="0.25">
      <c r="I462" s="104"/>
      <c r="J462" s="104"/>
      <c r="K462" s="682"/>
    </row>
    <row r="463" spans="9:11" x14ac:dyDescent="0.25">
      <c r="I463" s="104"/>
      <c r="J463" s="104"/>
      <c r="K463" s="682"/>
    </row>
    <row r="464" spans="9:11" x14ac:dyDescent="0.25">
      <c r="I464" s="104"/>
      <c r="J464" s="104"/>
      <c r="K464" s="682"/>
    </row>
    <row r="465" spans="9:11" x14ac:dyDescent="0.25">
      <c r="I465" s="104"/>
      <c r="J465" s="104"/>
      <c r="K465" s="682"/>
    </row>
    <row r="466" spans="9:11" x14ac:dyDescent="0.25">
      <c r="I466" s="104"/>
      <c r="J466" s="104"/>
      <c r="K466" s="682"/>
    </row>
    <row r="467" spans="9:11" x14ac:dyDescent="0.25">
      <c r="I467" s="104"/>
      <c r="J467" s="104"/>
      <c r="K467" s="682"/>
    </row>
    <row r="468" spans="9:11" x14ac:dyDescent="0.25">
      <c r="I468" s="104"/>
      <c r="J468" s="104"/>
      <c r="K468" s="682"/>
    </row>
    <row r="469" spans="9:11" x14ac:dyDescent="0.25">
      <c r="I469" s="104"/>
      <c r="J469" s="104"/>
      <c r="K469" s="682"/>
    </row>
    <row r="470" spans="9:11" x14ac:dyDescent="0.25">
      <c r="I470" s="104"/>
      <c r="J470" s="104"/>
      <c r="K470" s="682"/>
    </row>
    <row r="471" spans="9:11" x14ac:dyDescent="0.25">
      <c r="I471" s="104"/>
      <c r="J471" s="104"/>
      <c r="K471" s="682"/>
    </row>
    <row r="472" spans="9:11" x14ac:dyDescent="0.25">
      <c r="I472" s="104"/>
      <c r="J472" s="104"/>
      <c r="K472" s="682"/>
    </row>
    <row r="473" spans="9:11" x14ac:dyDescent="0.25">
      <c r="I473" s="104"/>
      <c r="J473" s="104"/>
      <c r="K473" s="682"/>
    </row>
    <row r="474" spans="9:11" x14ac:dyDescent="0.25">
      <c r="I474" s="104"/>
      <c r="J474" s="104"/>
      <c r="K474" s="682"/>
    </row>
    <row r="475" spans="9:11" x14ac:dyDescent="0.25">
      <c r="I475" s="104"/>
      <c r="J475" s="104"/>
      <c r="K475" s="682"/>
    </row>
    <row r="476" spans="9:11" x14ac:dyDescent="0.25">
      <c r="I476" s="104"/>
      <c r="J476" s="104"/>
      <c r="K476" s="682"/>
    </row>
    <row r="477" spans="9:11" x14ac:dyDescent="0.25">
      <c r="I477" s="104"/>
      <c r="J477" s="104"/>
      <c r="K477" s="682"/>
    </row>
    <row r="478" spans="9:11" x14ac:dyDescent="0.25">
      <c r="I478" s="104"/>
      <c r="J478" s="104"/>
      <c r="K478" s="682"/>
    </row>
    <row r="479" spans="9:11" x14ac:dyDescent="0.25">
      <c r="I479" s="104"/>
      <c r="J479" s="104"/>
      <c r="K479" s="682"/>
    </row>
    <row r="480" spans="9:11" x14ac:dyDescent="0.25">
      <c r="I480" s="104"/>
      <c r="J480" s="104"/>
      <c r="K480" s="682"/>
    </row>
    <row r="481" spans="9:11" x14ac:dyDescent="0.25">
      <c r="I481" s="104"/>
      <c r="J481" s="104"/>
      <c r="K481" s="682"/>
    </row>
    <row r="482" spans="9:11" x14ac:dyDescent="0.25">
      <c r="I482" s="104"/>
      <c r="J482" s="104"/>
      <c r="K482" s="682"/>
    </row>
    <row r="483" spans="9:11" x14ac:dyDescent="0.25">
      <c r="I483" s="104"/>
      <c r="J483" s="104"/>
      <c r="K483" s="682"/>
    </row>
    <row r="484" spans="9:11" x14ac:dyDescent="0.25">
      <c r="I484" s="104"/>
      <c r="J484" s="104"/>
      <c r="K484" s="682"/>
    </row>
    <row r="485" spans="9:11" x14ac:dyDescent="0.25">
      <c r="I485" s="104"/>
      <c r="J485" s="104"/>
      <c r="K485" s="682"/>
    </row>
    <row r="486" spans="9:11" x14ac:dyDescent="0.25">
      <c r="I486" s="104"/>
      <c r="J486" s="104"/>
      <c r="K486" s="682"/>
    </row>
    <row r="487" spans="9:11" x14ac:dyDescent="0.25">
      <c r="I487" s="104"/>
      <c r="J487" s="104"/>
      <c r="K487" s="682"/>
    </row>
    <row r="488" spans="9:11" x14ac:dyDescent="0.25">
      <c r="I488" s="104"/>
      <c r="J488" s="104"/>
      <c r="K488" s="682"/>
    </row>
    <row r="489" spans="9:11" x14ac:dyDescent="0.25">
      <c r="I489" s="104"/>
      <c r="J489" s="104"/>
      <c r="K489" s="682"/>
    </row>
    <row r="490" spans="9:11" x14ac:dyDescent="0.25">
      <c r="I490" s="104"/>
      <c r="J490" s="104"/>
      <c r="K490" s="682"/>
    </row>
    <row r="491" spans="9:11" x14ac:dyDescent="0.25">
      <c r="I491" s="104"/>
      <c r="J491" s="104"/>
      <c r="K491" s="682"/>
    </row>
    <row r="492" spans="9:11" x14ac:dyDescent="0.25">
      <c r="I492" s="104"/>
      <c r="J492" s="104"/>
      <c r="K492" s="682"/>
    </row>
    <row r="493" spans="9:11" x14ac:dyDescent="0.25">
      <c r="I493" s="104"/>
      <c r="J493" s="104"/>
      <c r="K493" s="682"/>
    </row>
    <row r="494" spans="9:11" x14ac:dyDescent="0.25">
      <c r="I494" s="104"/>
      <c r="J494" s="104"/>
      <c r="K494" s="682"/>
    </row>
    <row r="495" spans="9:11" x14ac:dyDescent="0.25">
      <c r="I495" s="104"/>
      <c r="J495" s="104"/>
      <c r="K495" s="682"/>
    </row>
    <row r="496" spans="9:11" x14ac:dyDescent="0.25">
      <c r="I496" s="104"/>
      <c r="J496" s="104"/>
      <c r="K496" s="682"/>
    </row>
    <row r="497" spans="9:11" x14ac:dyDescent="0.25">
      <c r="I497" s="104"/>
      <c r="J497" s="104"/>
      <c r="K497" s="682"/>
    </row>
    <row r="498" spans="9:11" x14ac:dyDescent="0.25">
      <c r="I498" s="104"/>
      <c r="J498" s="104"/>
      <c r="K498" s="682"/>
    </row>
    <row r="499" spans="9:11" x14ac:dyDescent="0.25">
      <c r="I499" s="104"/>
      <c r="J499" s="104"/>
      <c r="K499" s="682"/>
    </row>
    <row r="500" spans="9:11" x14ac:dyDescent="0.25">
      <c r="I500" s="104"/>
      <c r="J500" s="104"/>
      <c r="K500" s="682"/>
    </row>
    <row r="501" spans="9:11" x14ac:dyDescent="0.25">
      <c r="I501" s="104"/>
      <c r="J501" s="104"/>
      <c r="K501" s="682"/>
    </row>
    <row r="502" spans="9:11" x14ac:dyDescent="0.25">
      <c r="I502" s="104"/>
      <c r="J502" s="104"/>
      <c r="K502" s="682"/>
    </row>
    <row r="503" spans="9:11" x14ac:dyDescent="0.25">
      <c r="I503" s="104"/>
      <c r="J503" s="104"/>
      <c r="K503" s="682"/>
    </row>
    <row r="504" spans="9:11" x14ac:dyDescent="0.25">
      <c r="I504" s="104"/>
      <c r="J504" s="104"/>
      <c r="K504" s="682"/>
    </row>
    <row r="505" spans="9:11" x14ac:dyDescent="0.25">
      <c r="I505" s="104"/>
      <c r="J505" s="104"/>
      <c r="K505" s="682"/>
    </row>
    <row r="506" spans="9:11" x14ac:dyDescent="0.25">
      <c r="I506" s="104"/>
      <c r="J506" s="104"/>
      <c r="K506" s="682"/>
    </row>
    <row r="507" spans="9:11" x14ac:dyDescent="0.25">
      <c r="I507" s="104"/>
      <c r="J507" s="104"/>
      <c r="K507" s="682"/>
    </row>
    <row r="508" spans="9:11" x14ac:dyDescent="0.25">
      <c r="I508" s="104"/>
      <c r="J508" s="104"/>
      <c r="K508" s="682"/>
    </row>
    <row r="509" spans="9:11" x14ac:dyDescent="0.25">
      <c r="I509" s="104"/>
      <c r="J509" s="104"/>
      <c r="K509" s="682"/>
    </row>
    <row r="510" spans="9:11" x14ac:dyDescent="0.25">
      <c r="I510" s="104"/>
      <c r="J510" s="104"/>
      <c r="K510" s="682"/>
    </row>
    <row r="511" spans="9:11" x14ac:dyDescent="0.25">
      <c r="I511" s="104"/>
      <c r="J511" s="104"/>
      <c r="K511" s="682"/>
    </row>
    <row r="512" spans="9:11" x14ac:dyDescent="0.25">
      <c r="I512" s="104"/>
      <c r="J512" s="104"/>
      <c r="K512" s="682"/>
    </row>
    <row r="513" spans="9:11" x14ac:dyDescent="0.25">
      <c r="I513" s="104"/>
      <c r="J513" s="104"/>
      <c r="K513" s="682"/>
    </row>
    <row r="514" spans="9:11" x14ac:dyDescent="0.25">
      <c r="I514" s="104"/>
      <c r="J514" s="104"/>
      <c r="K514" s="682"/>
    </row>
    <row r="515" spans="9:11" x14ac:dyDescent="0.25">
      <c r="I515" s="104"/>
      <c r="J515" s="104"/>
      <c r="K515" s="682"/>
    </row>
    <row r="516" spans="9:11" x14ac:dyDescent="0.25">
      <c r="I516" s="104"/>
      <c r="J516" s="104"/>
      <c r="K516" s="682"/>
    </row>
    <row r="517" spans="9:11" x14ac:dyDescent="0.25">
      <c r="I517" s="104"/>
      <c r="J517" s="104"/>
      <c r="K517" s="682"/>
    </row>
    <row r="518" spans="9:11" x14ac:dyDescent="0.25">
      <c r="I518" s="104"/>
      <c r="J518" s="104"/>
      <c r="K518" s="682"/>
    </row>
    <row r="519" spans="9:11" x14ac:dyDescent="0.25">
      <c r="I519" s="104"/>
      <c r="J519" s="104"/>
      <c r="K519" s="682"/>
    </row>
    <row r="520" spans="9:11" x14ac:dyDescent="0.25">
      <c r="I520" s="104"/>
      <c r="J520" s="104"/>
      <c r="K520" s="682"/>
    </row>
    <row r="521" spans="9:11" x14ac:dyDescent="0.25">
      <c r="I521" s="104"/>
      <c r="J521" s="104"/>
      <c r="K521" s="682"/>
    </row>
    <row r="522" spans="9:11" x14ac:dyDescent="0.25">
      <c r="I522" s="104"/>
      <c r="J522" s="104"/>
      <c r="K522" s="682"/>
    </row>
    <row r="523" spans="9:11" x14ac:dyDescent="0.25">
      <c r="I523" s="104"/>
      <c r="J523" s="104"/>
      <c r="K523" s="682"/>
    </row>
    <row r="524" spans="9:11" x14ac:dyDescent="0.25">
      <c r="I524" s="104"/>
      <c r="J524" s="104"/>
      <c r="K524" s="682"/>
    </row>
    <row r="525" spans="9:11" x14ac:dyDescent="0.25">
      <c r="I525" s="104"/>
      <c r="J525" s="104"/>
      <c r="K525" s="682"/>
    </row>
    <row r="526" spans="9:11" x14ac:dyDescent="0.25">
      <c r="I526" s="104"/>
      <c r="J526" s="104"/>
      <c r="K526" s="682"/>
    </row>
    <row r="527" spans="9:11" x14ac:dyDescent="0.25">
      <c r="I527" s="104"/>
      <c r="J527" s="104"/>
      <c r="K527" s="682"/>
    </row>
    <row r="528" spans="9:11" x14ac:dyDescent="0.25">
      <c r="I528" s="104"/>
      <c r="J528" s="104"/>
      <c r="K528" s="682"/>
    </row>
    <row r="529" spans="9:11" x14ac:dyDescent="0.25">
      <c r="I529" s="104"/>
      <c r="J529" s="104"/>
      <c r="K529" s="682"/>
    </row>
    <row r="530" spans="9:11" x14ac:dyDescent="0.25">
      <c r="I530" s="104"/>
      <c r="J530" s="104"/>
      <c r="K530" s="682"/>
    </row>
    <row r="531" spans="9:11" x14ac:dyDescent="0.25">
      <c r="I531" s="104"/>
      <c r="J531" s="104"/>
      <c r="K531" s="682"/>
    </row>
    <row r="532" spans="9:11" x14ac:dyDescent="0.25">
      <c r="I532" s="104"/>
      <c r="J532" s="104"/>
      <c r="K532" s="682"/>
    </row>
    <row r="533" spans="9:11" x14ac:dyDescent="0.25">
      <c r="I533" s="104"/>
      <c r="J533" s="104"/>
      <c r="K533" s="682"/>
    </row>
    <row r="534" spans="9:11" x14ac:dyDescent="0.25">
      <c r="I534" s="104"/>
      <c r="J534" s="104"/>
      <c r="K534" s="682"/>
    </row>
    <row r="535" spans="9:11" x14ac:dyDescent="0.25">
      <c r="I535" s="104"/>
      <c r="J535" s="104"/>
      <c r="K535" s="682"/>
    </row>
    <row r="536" spans="9:11" x14ac:dyDescent="0.25">
      <c r="I536" s="104"/>
      <c r="J536" s="104"/>
      <c r="K536" s="682"/>
    </row>
    <row r="537" spans="9:11" x14ac:dyDescent="0.25">
      <c r="I537" s="104"/>
      <c r="J537" s="104"/>
      <c r="K537" s="682"/>
    </row>
    <row r="538" spans="9:11" x14ac:dyDescent="0.25">
      <c r="I538" s="104"/>
      <c r="J538" s="104"/>
      <c r="K538" s="682"/>
    </row>
    <row r="539" spans="9:11" x14ac:dyDescent="0.25">
      <c r="I539" s="104"/>
      <c r="J539" s="104"/>
      <c r="K539" s="682"/>
    </row>
    <row r="540" spans="9:11" x14ac:dyDescent="0.25">
      <c r="I540" s="104"/>
      <c r="J540" s="104"/>
      <c r="K540" s="682"/>
    </row>
    <row r="541" spans="9:11" x14ac:dyDescent="0.25">
      <c r="I541" s="104"/>
      <c r="J541" s="104"/>
      <c r="K541" s="682"/>
    </row>
    <row r="542" spans="9:11" x14ac:dyDescent="0.25">
      <c r="I542" s="104"/>
      <c r="J542" s="104"/>
      <c r="K542" s="682"/>
    </row>
    <row r="543" spans="9:11" x14ac:dyDescent="0.25">
      <c r="I543" s="104"/>
      <c r="J543" s="104"/>
      <c r="K543" s="682"/>
    </row>
    <row r="544" spans="9:11" x14ac:dyDescent="0.25">
      <c r="I544" s="104"/>
      <c r="J544" s="104"/>
      <c r="K544" s="682"/>
    </row>
    <row r="545" spans="9:11" x14ac:dyDescent="0.25">
      <c r="I545" s="104"/>
      <c r="J545" s="104"/>
      <c r="K545" s="682"/>
    </row>
    <row r="546" spans="9:11" x14ac:dyDescent="0.25">
      <c r="I546" s="104"/>
      <c r="J546" s="104"/>
      <c r="K546" s="682"/>
    </row>
    <row r="547" spans="9:11" x14ac:dyDescent="0.25">
      <c r="I547" s="104"/>
      <c r="J547" s="104"/>
      <c r="K547" s="682"/>
    </row>
    <row r="548" spans="9:11" x14ac:dyDescent="0.25">
      <c r="I548" s="104"/>
      <c r="J548" s="104"/>
      <c r="K548" s="682"/>
    </row>
    <row r="549" spans="9:11" x14ac:dyDescent="0.25">
      <c r="I549" s="104"/>
      <c r="J549" s="104"/>
      <c r="K549" s="682"/>
    </row>
    <row r="550" spans="9:11" x14ac:dyDescent="0.25">
      <c r="I550" s="104"/>
      <c r="J550" s="104"/>
      <c r="K550" s="682"/>
    </row>
    <row r="551" spans="9:11" x14ac:dyDescent="0.25">
      <c r="I551" s="104"/>
      <c r="J551" s="104"/>
      <c r="K551" s="682"/>
    </row>
    <row r="552" spans="9:11" x14ac:dyDescent="0.25">
      <c r="I552" s="104"/>
      <c r="J552" s="104"/>
      <c r="K552" s="682"/>
    </row>
    <row r="553" spans="9:11" x14ac:dyDescent="0.25">
      <c r="I553" s="104"/>
      <c r="J553" s="104"/>
      <c r="K553" s="682"/>
    </row>
    <row r="554" spans="9:11" x14ac:dyDescent="0.25">
      <c r="I554" s="104"/>
      <c r="J554" s="104"/>
      <c r="K554" s="682"/>
    </row>
    <row r="555" spans="9:11" x14ac:dyDescent="0.25">
      <c r="I555" s="104"/>
      <c r="J555" s="104"/>
      <c r="K555" s="682"/>
    </row>
    <row r="556" spans="9:11" x14ac:dyDescent="0.25">
      <c r="I556" s="104"/>
      <c r="J556" s="104"/>
      <c r="K556" s="682"/>
    </row>
    <row r="557" spans="9:11" x14ac:dyDescent="0.25">
      <c r="I557" s="104"/>
      <c r="J557" s="104"/>
      <c r="K557" s="682"/>
    </row>
    <row r="558" spans="9:11" x14ac:dyDescent="0.25">
      <c r="I558" s="104"/>
      <c r="J558" s="104"/>
      <c r="K558" s="682"/>
    </row>
    <row r="559" spans="9:11" x14ac:dyDescent="0.25">
      <c r="I559" s="104"/>
      <c r="J559" s="104"/>
      <c r="K559" s="682"/>
    </row>
    <row r="560" spans="9:11" x14ac:dyDescent="0.25">
      <c r="I560" s="104"/>
      <c r="J560" s="104"/>
      <c r="K560" s="682"/>
    </row>
    <row r="561" spans="9:11" x14ac:dyDescent="0.25">
      <c r="I561" s="104"/>
      <c r="J561" s="104"/>
      <c r="K561" s="682"/>
    </row>
    <row r="562" spans="9:11" x14ac:dyDescent="0.25">
      <c r="I562" s="104"/>
      <c r="J562" s="104"/>
      <c r="K562" s="682"/>
    </row>
    <row r="563" spans="9:11" x14ac:dyDescent="0.25">
      <c r="I563" s="104"/>
      <c r="J563" s="104"/>
      <c r="K563" s="682"/>
    </row>
    <row r="564" spans="9:11" x14ac:dyDescent="0.25">
      <c r="I564" s="104"/>
      <c r="J564" s="104"/>
      <c r="K564" s="682"/>
    </row>
    <row r="565" spans="9:11" x14ac:dyDescent="0.25">
      <c r="I565" s="104"/>
      <c r="J565" s="104"/>
      <c r="K565" s="682"/>
    </row>
    <row r="566" spans="9:11" x14ac:dyDescent="0.25">
      <c r="I566" s="104"/>
      <c r="J566" s="104"/>
      <c r="K566" s="682"/>
    </row>
    <row r="567" spans="9:11" x14ac:dyDescent="0.25">
      <c r="I567" s="104"/>
      <c r="J567" s="104"/>
      <c r="K567" s="682"/>
    </row>
    <row r="568" spans="9:11" x14ac:dyDescent="0.25">
      <c r="I568" s="104"/>
      <c r="J568" s="104"/>
      <c r="K568" s="682"/>
    </row>
    <row r="569" spans="9:11" x14ac:dyDescent="0.25">
      <c r="I569" s="104"/>
      <c r="J569" s="104"/>
      <c r="K569" s="682"/>
    </row>
    <row r="570" spans="9:11" x14ac:dyDescent="0.25">
      <c r="I570" s="104"/>
      <c r="J570" s="104"/>
      <c r="K570" s="682"/>
    </row>
    <row r="571" spans="9:11" x14ac:dyDescent="0.25">
      <c r="I571" s="104"/>
      <c r="J571" s="104"/>
      <c r="K571" s="682"/>
    </row>
    <row r="572" spans="9:11" x14ac:dyDescent="0.25">
      <c r="I572" s="104"/>
      <c r="J572" s="104"/>
      <c r="K572" s="682"/>
    </row>
    <row r="573" spans="9:11" x14ac:dyDescent="0.25">
      <c r="I573" s="104"/>
      <c r="J573" s="104"/>
      <c r="K573" s="682"/>
    </row>
    <row r="574" spans="9:11" x14ac:dyDescent="0.25">
      <c r="I574" s="104"/>
      <c r="J574" s="104"/>
      <c r="K574" s="682"/>
    </row>
    <row r="575" spans="9:11" x14ac:dyDescent="0.25">
      <c r="I575" s="104"/>
      <c r="J575" s="104"/>
      <c r="K575" s="682"/>
    </row>
    <row r="576" spans="9:11" x14ac:dyDescent="0.25">
      <c r="I576" s="104"/>
      <c r="J576" s="104"/>
      <c r="K576" s="682"/>
    </row>
    <row r="577" spans="9:11" x14ac:dyDescent="0.25">
      <c r="I577" s="104"/>
      <c r="J577" s="104"/>
      <c r="K577" s="682"/>
    </row>
    <row r="578" spans="9:11" x14ac:dyDescent="0.25">
      <c r="I578" s="104"/>
      <c r="J578" s="104"/>
      <c r="K578" s="682"/>
    </row>
    <row r="579" spans="9:11" x14ac:dyDescent="0.25">
      <c r="I579" s="104"/>
      <c r="J579" s="104"/>
      <c r="K579" s="682"/>
    </row>
    <row r="580" spans="9:11" x14ac:dyDescent="0.25">
      <c r="I580" s="104"/>
      <c r="J580" s="104"/>
      <c r="K580" s="682"/>
    </row>
    <row r="581" spans="9:11" x14ac:dyDescent="0.25">
      <c r="I581" s="104"/>
      <c r="J581" s="104"/>
      <c r="K581" s="682"/>
    </row>
    <row r="582" spans="9:11" x14ac:dyDescent="0.25">
      <c r="I582" s="104"/>
      <c r="J582" s="104"/>
      <c r="K582" s="682"/>
    </row>
    <row r="583" spans="9:11" x14ac:dyDescent="0.25">
      <c r="I583" s="104"/>
      <c r="J583" s="104"/>
      <c r="K583" s="682"/>
    </row>
    <row r="584" spans="9:11" x14ac:dyDescent="0.25">
      <c r="I584" s="104"/>
      <c r="J584" s="104"/>
      <c r="K584" s="682"/>
    </row>
    <row r="585" spans="9:11" x14ac:dyDescent="0.25">
      <c r="I585" s="104"/>
      <c r="J585" s="104"/>
      <c r="K585" s="682"/>
    </row>
    <row r="586" spans="9:11" x14ac:dyDescent="0.25">
      <c r="I586" s="104"/>
      <c r="J586" s="104"/>
      <c r="K586" s="682"/>
    </row>
    <row r="587" spans="9:11" x14ac:dyDescent="0.25">
      <c r="I587" s="104"/>
      <c r="J587" s="104"/>
      <c r="K587" s="682"/>
    </row>
    <row r="588" spans="9:11" x14ac:dyDescent="0.25">
      <c r="I588" s="104"/>
      <c r="J588" s="104"/>
      <c r="K588" s="682"/>
    </row>
    <row r="589" spans="9:11" x14ac:dyDescent="0.25">
      <c r="I589" s="104"/>
      <c r="J589" s="104"/>
      <c r="K589" s="682"/>
    </row>
    <row r="590" spans="9:11" x14ac:dyDescent="0.25">
      <c r="I590" s="104"/>
      <c r="J590" s="104"/>
      <c r="K590" s="682"/>
    </row>
    <row r="591" spans="9:11" x14ac:dyDescent="0.25">
      <c r="I591" s="104"/>
      <c r="J591" s="104"/>
      <c r="K591" s="682"/>
    </row>
    <row r="592" spans="9:11" x14ac:dyDescent="0.25">
      <c r="I592" s="104"/>
      <c r="J592" s="104"/>
      <c r="K592" s="682"/>
    </row>
    <row r="593" spans="9:11" x14ac:dyDescent="0.25">
      <c r="I593" s="104"/>
      <c r="J593" s="104"/>
      <c r="K593" s="682"/>
    </row>
    <row r="594" spans="9:11" x14ac:dyDescent="0.25">
      <c r="I594" s="104"/>
      <c r="J594" s="104"/>
      <c r="K594" s="682"/>
    </row>
    <row r="595" spans="9:11" x14ac:dyDescent="0.25">
      <c r="I595" s="104"/>
      <c r="J595" s="104"/>
      <c r="K595" s="682"/>
    </row>
    <row r="596" spans="9:11" x14ac:dyDescent="0.25">
      <c r="I596" s="104"/>
      <c r="J596" s="104"/>
      <c r="K596" s="682"/>
    </row>
    <row r="597" spans="9:11" x14ac:dyDescent="0.25">
      <c r="I597" s="104"/>
      <c r="J597" s="104"/>
      <c r="K597" s="682"/>
    </row>
    <row r="598" spans="9:11" x14ac:dyDescent="0.25">
      <c r="I598" s="104"/>
      <c r="J598" s="104"/>
      <c r="K598" s="682"/>
    </row>
    <row r="599" spans="9:11" x14ac:dyDescent="0.25">
      <c r="I599" s="104"/>
      <c r="J599" s="104"/>
      <c r="K599" s="682"/>
    </row>
    <row r="600" spans="9:11" x14ac:dyDescent="0.25">
      <c r="I600" s="104"/>
      <c r="J600" s="104"/>
      <c r="K600" s="682"/>
    </row>
    <row r="601" spans="9:11" x14ac:dyDescent="0.25">
      <c r="I601" s="104"/>
      <c r="J601" s="104"/>
      <c r="K601" s="682"/>
    </row>
    <row r="602" spans="9:11" x14ac:dyDescent="0.25">
      <c r="I602" s="104"/>
      <c r="J602" s="104"/>
      <c r="K602" s="682"/>
    </row>
    <row r="603" spans="9:11" x14ac:dyDescent="0.25">
      <c r="I603" s="104"/>
      <c r="J603" s="104"/>
      <c r="K603" s="682"/>
    </row>
    <row r="604" spans="9:11" x14ac:dyDescent="0.25">
      <c r="I604" s="104"/>
      <c r="J604" s="104"/>
      <c r="K604" s="682"/>
    </row>
    <row r="605" spans="9:11" x14ac:dyDescent="0.25">
      <c r="I605" s="104"/>
      <c r="J605" s="104"/>
      <c r="K605" s="682"/>
    </row>
    <row r="606" spans="9:11" x14ac:dyDescent="0.25">
      <c r="I606" s="104"/>
      <c r="J606" s="104"/>
      <c r="K606" s="682"/>
    </row>
    <row r="607" spans="9:11" x14ac:dyDescent="0.25">
      <c r="I607" s="104"/>
      <c r="J607" s="104"/>
      <c r="K607" s="682"/>
    </row>
    <row r="608" spans="9:11" x14ac:dyDescent="0.25">
      <c r="I608" s="104"/>
      <c r="J608" s="104"/>
      <c r="K608" s="682"/>
    </row>
    <row r="609" spans="9:11" x14ac:dyDescent="0.25">
      <c r="I609" s="104"/>
      <c r="J609" s="104"/>
      <c r="K609" s="682"/>
    </row>
    <row r="610" spans="9:11" x14ac:dyDescent="0.25">
      <c r="I610" s="104"/>
      <c r="J610" s="104"/>
      <c r="K610" s="682"/>
    </row>
    <row r="611" spans="9:11" x14ac:dyDescent="0.25">
      <c r="I611" s="104"/>
      <c r="J611" s="104"/>
      <c r="K611" s="682"/>
    </row>
    <row r="612" spans="9:11" x14ac:dyDescent="0.25">
      <c r="I612" s="104"/>
      <c r="J612" s="104"/>
      <c r="K612" s="682"/>
    </row>
    <row r="613" spans="9:11" x14ac:dyDescent="0.25">
      <c r="I613" s="104"/>
      <c r="J613" s="104"/>
      <c r="K613" s="682"/>
    </row>
    <row r="614" spans="9:11" x14ac:dyDescent="0.25">
      <c r="I614" s="104"/>
      <c r="J614" s="104"/>
      <c r="K614" s="682"/>
    </row>
    <row r="615" spans="9:11" x14ac:dyDescent="0.25">
      <c r="I615" s="104"/>
      <c r="J615" s="104"/>
      <c r="K615" s="682"/>
    </row>
    <row r="616" spans="9:11" x14ac:dyDescent="0.25">
      <c r="I616" s="104"/>
      <c r="J616" s="104"/>
      <c r="K616" s="682"/>
    </row>
    <row r="617" spans="9:11" x14ac:dyDescent="0.25">
      <c r="I617" s="104"/>
      <c r="J617" s="104"/>
      <c r="K617" s="682"/>
    </row>
    <row r="618" spans="9:11" x14ac:dyDescent="0.25">
      <c r="I618" s="104"/>
      <c r="J618" s="104"/>
      <c r="K618" s="682"/>
    </row>
    <row r="619" spans="9:11" x14ac:dyDescent="0.25">
      <c r="I619" s="104"/>
      <c r="J619" s="104"/>
      <c r="K619" s="682"/>
    </row>
    <row r="620" spans="9:11" x14ac:dyDescent="0.25">
      <c r="I620" s="104"/>
      <c r="J620" s="104"/>
      <c r="K620" s="682"/>
    </row>
    <row r="621" spans="9:11" x14ac:dyDescent="0.25">
      <c r="I621" s="104"/>
      <c r="J621" s="104"/>
      <c r="K621" s="682"/>
    </row>
    <row r="622" spans="9:11" x14ac:dyDescent="0.25">
      <c r="I622" s="104"/>
      <c r="J622" s="104"/>
      <c r="K622" s="682"/>
    </row>
    <row r="623" spans="9:11" x14ac:dyDescent="0.25">
      <c r="I623" s="104"/>
      <c r="J623" s="104"/>
      <c r="K623" s="682"/>
    </row>
    <row r="624" spans="9:11" x14ac:dyDescent="0.25">
      <c r="I624" s="104"/>
      <c r="J624" s="104"/>
      <c r="K624" s="682"/>
    </row>
    <row r="625" spans="9:11" x14ac:dyDescent="0.25">
      <c r="I625" s="104"/>
      <c r="J625" s="104"/>
      <c r="K625" s="682"/>
    </row>
    <row r="626" spans="9:11" x14ac:dyDescent="0.25">
      <c r="I626" s="104"/>
      <c r="J626" s="104"/>
      <c r="K626" s="682"/>
    </row>
    <row r="627" spans="9:11" x14ac:dyDescent="0.25">
      <c r="I627" s="104"/>
      <c r="J627" s="104"/>
      <c r="K627" s="682"/>
    </row>
    <row r="628" spans="9:11" x14ac:dyDescent="0.25">
      <c r="I628" s="104"/>
      <c r="J628" s="104"/>
      <c r="K628" s="682"/>
    </row>
    <row r="629" spans="9:11" x14ac:dyDescent="0.25">
      <c r="I629" s="104"/>
      <c r="J629" s="104"/>
      <c r="K629" s="682"/>
    </row>
    <row r="630" spans="9:11" x14ac:dyDescent="0.25">
      <c r="I630" s="104"/>
      <c r="J630" s="104"/>
      <c r="K630" s="682"/>
    </row>
    <row r="631" spans="9:11" x14ac:dyDescent="0.25">
      <c r="I631" s="104"/>
      <c r="J631" s="104"/>
      <c r="K631" s="682"/>
    </row>
    <row r="632" spans="9:11" x14ac:dyDescent="0.25">
      <c r="I632" s="104"/>
      <c r="J632" s="104"/>
      <c r="K632" s="682"/>
    </row>
    <row r="633" spans="9:11" x14ac:dyDescent="0.25">
      <c r="I633" s="104"/>
      <c r="J633" s="104"/>
      <c r="K633" s="682"/>
    </row>
    <row r="634" spans="9:11" x14ac:dyDescent="0.25">
      <c r="I634" s="104"/>
      <c r="J634" s="104"/>
      <c r="K634" s="682"/>
    </row>
    <row r="635" spans="9:11" x14ac:dyDescent="0.25">
      <c r="I635" s="104"/>
      <c r="J635" s="104"/>
      <c r="K635" s="682"/>
    </row>
    <row r="636" spans="9:11" x14ac:dyDescent="0.25">
      <c r="I636" s="104"/>
      <c r="J636" s="104"/>
      <c r="K636" s="682"/>
    </row>
    <row r="637" spans="9:11" x14ac:dyDescent="0.25">
      <c r="I637" s="104"/>
      <c r="J637" s="104"/>
      <c r="K637" s="682"/>
    </row>
    <row r="638" spans="9:11" x14ac:dyDescent="0.25">
      <c r="I638" s="104"/>
      <c r="J638" s="104"/>
      <c r="K638" s="682"/>
    </row>
    <row r="639" spans="9:11" x14ac:dyDescent="0.25">
      <c r="I639" s="104"/>
      <c r="J639" s="104"/>
      <c r="K639" s="682"/>
    </row>
    <row r="640" spans="9:11" x14ac:dyDescent="0.25">
      <c r="I640" s="104"/>
      <c r="J640" s="104"/>
      <c r="K640" s="682"/>
    </row>
    <row r="641" spans="9:11" x14ac:dyDescent="0.25">
      <c r="I641" s="104"/>
      <c r="J641" s="104"/>
      <c r="K641" s="682"/>
    </row>
    <row r="642" spans="9:11" x14ac:dyDescent="0.25">
      <c r="I642" s="104"/>
      <c r="J642" s="104"/>
      <c r="K642" s="682"/>
    </row>
    <row r="643" spans="9:11" x14ac:dyDescent="0.25">
      <c r="I643" s="104"/>
      <c r="J643" s="104"/>
      <c r="K643" s="682"/>
    </row>
    <row r="644" spans="9:11" x14ac:dyDescent="0.25">
      <c r="I644" s="104"/>
      <c r="J644" s="104"/>
      <c r="K644" s="682"/>
    </row>
    <row r="645" spans="9:11" x14ac:dyDescent="0.25">
      <c r="I645" s="104"/>
      <c r="J645" s="104"/>
      <c r="K645" s="682"/>
    </row>
    <row r="646" spans="9:11" x14ac:dyDescent="0.25">
      <c r="I646" s="104"/>
      <c r="J646" s="104"/>
      <c r="K646" s="682"/>
    </row>
    <row r="647" spans="9:11" x14ac:dyDescent="0.25">
      <c r="I647" s="104"/>
      <c r="J647" s="104"/>
      <c r="K647" s="682"/>
    </row>
    <row r="648" spans="9:11" x14ac:dyDescent="0.25">
      <c r="I648" s="104"/>
      <c r="J648" s="104"/>
      <c r="K648" s="682"/>
    </row>
    <row r="649" spans="9:11" x14ac:dyDescent="0.25">
      <c r="I649" s="104"/>
      <c r="J649" s="104"/>
      <c r="K649" s="682"/>
    </row>
    <row r="650" spans="9:11" x14ac:dyDescent="0.25">
      <c r="I650" s="104"/>
      <c r="J650" s="104"/>
      <c r="K650" s="682"/>
    </row>
    <row r="651" spans="9:11" x14ac:dyDescent="0.25">
      <c r="I651" s="104"/>
      <c r="J651" s="104"/>
      <c r="K651" s="682"/>
    </row>
    <row r="652" spans="9:11" x14ac:dyDescent="0.25">
      <c r="I652" s="104"/>
      <c r="J652" s="104"/>
      <c r="K652" s="682"/>
    </row>
    <row r="653" spans="9:11" x14ac:dyDescent="0.25">
      <c r="I653" s="104"/>
      <c r="J653" s="104"/>
      <c r="K653" s="682"/>
    </row>
    <row r="654" spans="9:11" x14ac:dyDescent="0.25">
      <c r="I654" s="104"/>
      <c r="J654" s="104"/>
      <c r="K654" s="682"/>
    </row>
    <row r="655" spans="9:11" x14ac:dyDescent="0.25">
      <c r="I655" s="104"/>
      <c r="J655" s="104"/>
      <c r="K655" s="682"/>
    </row>
    <row r="656" spans="9:11" x14ac:dyDescent="0.25">
      <c r="I656" s="104"/>
      <c r="J656" s="104"/>
      <c r="K656" s="682"/>
    </row>
    <row r="657" spans="9:11" x14ac:dyDescent="0.25">
      <c r="I657" s="104"/>
      <c r="J657" s="104"/>
      <c r="K657" s="682"/>
    </row>
    <row r="658" spans="9:11" x14ac:dyDescent="0.25">
      <c r="I658" s="104"/>
      <c r="J658" s="104"/>
      <c r="K658" s="682"/>
    </row>
    <row r="659" spans="9:11" x14ac:dyDescent="0.25">
      <c r="I659" s="104"/>
      <c r="J659" s="104"/>
      <c r="K659" s="682"/>
    </row>
    <row r="660" spans="9:11" x14ac:dyDescent="0.25">
      <c r="I660" s="104"/>
      <c r="J660" s="104"/>
      <c r="K660" s="682"/>
    </row>
    <row r="661" spans="9:11" x14ac:dyDescent="0.25">
      <c r="I661" s="104"/>
      <c r="J661" s="104"/>
      <c r="K661" s="682"/>
    </row>
    <row r="662" spans="9:11" x14ac:dyDescent="0.25">
      <c r="I662" s="104"/>
      <c r="J662" s="104"/>
      <c r="K662" s="682"/>
    </row>
    <row r="663" spans="9:11" x14ac:dyDescent="0.25">
      <c r="I663" s="104"/>
      <c r="J663" s="104"/>
      <c r="K663" s="682"/>
    </row>
    <row r="664" spans="9:11" x14ac:dyDescent="0.25">
      <c r="I664" s="104"/>
      <c r="J664" s="104"/>
      <c r="K664" s="682"/>
    </row>
    <row r="665" spans="9:11" x14ac:dyDescent="0.25">
      <c r="I665" s="104"/>
      <c r="J665" s="104"/>
      <c r="K665" s="682"/>
    </row>
    <row r="666" spans="9:11" x14ac:dyDescent="0.25">
      <c r="I666" s="104"/>
      <c r="J666" s="104"/>
      <c r="K666" s="682"/>
    </row>
    <row r="667" spans="9:11" x14ac:dyDescent="0.25">
      <c r="I667" s="104"/>
      <c r="J667" s="104"/>
      <c r="K667" s="682"/>
    </row>
    <row r="668" spans="9:11" x14ac:dyDescent="0.25">
      <c r="I668" s="104"/>
      <c r="J668" s="104"/>
      <c r="K668" s="682"/>
    </row>
    <row r="669" spans="9:11" x14ac:dyDescent="0.25">
      <c r="I669" s="104"/>
      <c r="J669" s="104"/>
      <c r="K669" s="682"/>
    </row>
    <row r="670" spans="9:11" x14ac:dyDescent="0.25">
      <c r="I670" s="104"/>
      <c r="J670" s="104"/>
      <c r="K670" s="682"/>
    </row>
    <row r="671" spans="9:11" x14ac:dyDescent="0.25">
      <c r="I671" s="104"/>
      <c r="J671" s="104"/>
      <c r="K671" s="682"/>
    </row>
    <row r="672" spans="9:11" x14ac:dyDescent="0.25">
      <c r="I672" s="104"/>
      <c r="J672" s="104"/>
      <c r="K672" s="682"/>
    </row>
    <row r="673" spans="9:11" x14ac:dyDescent="0.25">
      <c r="I673" s="104"/>
      <c r="J673" s="104"/>
      <c r="K673" s="682"/>
    </row>
    <row r="674" spans="9:11" x14ac:dyDescent="0.25">
      <c r="I674" s="104"/>
      <c r="J674" s="104"/>
      <c r="K674" s="682"/>
    </row>
    <row r="675" spans="9:11" x14ac:dyDescent="0.25">
      <c r="I675" s="104"/>
      <c r="J675" s="104"/>
      <c r="K675" s="682"/>
    </row>
    <row r="676" spans="9:11" x14ac:dyDescent="0.25">
      <c r="I676" s="104"/>
      <c r="J676" s="104"/>
      <c r="K676" s="682"/>
    </row>
    <row r="677" spans="9:11" x14ac:dyDescent="0.25">
      <c r="I677" s="104"/>
      <c r="J677" s="104"/>
      <c r="K677" s="682"/>
    </row>
    <row r="678" spans="9:11" x14ac:dyDescent="0.25">
      <c r="I678" s="104"/>
      <c r="J678" s="104"/>
      <c r="K678" s="682"/>
    </row>
    <row r="679" spans="9:11" x14ac:dyDescent="0.25">
      <c r="I679" s="104"/>
      <c r="J679" s="104"/>
      <c r="K679" s="682"/>
    </row>
    <row r="680" spans="9:11" x14ac:dyDescent="0.25">
      <c r="I680" s="104"/>
      <c r="J680" s="104"/>
      <c r="K680" s="682"/>
    </row>
    <row r="681" spans="9:11" x14ac:dyDescent="0.25">
      <c r="I681" s="104"/>
      <c r="J681" s="104"/>
      <c r="K681" s="682"/>
    </row>
    <row r="682" spans="9:11" x14ac:dyDescent="0.25">
      <c r="I682" s="104"/>
      <c r="J682" s="104"/>
      <c r="K682" s="682"/>
    </row>
    <row r="683" spans="9:11" x14ac:dyDescent="0.25">
      <c r="I683" s="104"/>
      <c r="J683" s="104"/>
      <c r="K683" s="682"/>
    </row>
    <row r="684" spans="9:11" x14ac:dyDescent="0.25">
      <c r="I684" s="104"/>
      <c r="J684" s="104"/>
      <c r="K684" s="682"/>
    </row>
    <row r="685" spans="9:11" x14ac:dyDescent="0.25">
      <c r="I685" s="104"/>
      <c r="J685" s="104"/>
      <c r="K685" s="682"/>
    </row>
    <row r="686" spans="9:11" x14ac:dyDescent="0.25">
      <c r="I686" s="104"/>
      <c r="J686" s="104"/>
      <c r="K686" s="682"/>
    </row>
    <row r="687" spans="9:11" x14ac:dyDescent="0.25">
      <c r="I687" s="104"/>
      <c r="J687" s="104"/>
      <c r="K687" s="682"/>
    </row>
    <row r="688" spans="9:11" x14ac:dyDescent="0.25">
      <c r="I688" s="104"/>
      <c r="J688" s="104"/>
      <c r="K688" s="682"/>
    </row>
    <row r="689" spans="9:11" x14ac:dyDescent="0.25">
      <c r="I689" s="104"/>
      <c r="J689" s="104"/>
      <c r="K689" s="682"/>
    </row>
    <row r="690" spans="9:11" x14ac:dyDescent="0.25">
      <c r="I690" s="104"/>
      <c r="J690" s="104"/>
      <c r="K690" s="682"/>
    </row>
    <row r="691" spans="9:11" x14ac:dyDescent="0.25">
      <c r="I691" s="104"/>
      <c r="J691" s="104"/>
      <c r="K691" s="682"/>
    </row>
    <row r="692" spans="9:11" x14ac:dyDescent="0.25">
      <c r="I692" s="104"/>
      <c r="J692" s="104"/>
      <c r="K692" s="682"/>
    </row>
    <row r="693" spans="9:11" x14ac:dyDescent="0.25">
      <c r="I693" s="104"/>
      <c r="J693" s="104"/>
      <c r="K693" s="682"/>
    </row>
    <row r="694" spans="9:11" x14ac:dyDescent="0.25">
      <c r="I694" s="104"/>
      <c r="J694" s="104"/>
      <c r="K694" s="682"/>
    </row>
    <row r="695" spans="9:11" x14ac:dyDescent="0.25">
      <c r="I695" s="104"/>
      <c r="J695" s="104"/>
      <c r="K695" s="682"/>
    </row>
    <row r="696" spans="9:11" x14ac:dyDescent="0.25">
      <c r="I696" s="104"/>
      <c r="J696" s="104"/>
      <c r="K696" s="682"/>
    </row>
    <row r="697" spans="9:11" x14ac:dyDescent="0.25">
      <c r="I697" s="104"/>
      <c r="J697" s="104"/>
      <c r="K697" s="682"/>
    </row>
    <row r="698" spans="9:11" x14ac:dyDescent="0.25">
      <c r="I698" s="104"/>
      <c r="J698" s="104"/>
      <c r="K698" s="682"/>
    </row>
    <row r="699" spans="9:11" x14ac:dyDescent="0.25">
      <c r="I699" s="104"/>
      <c r="J699" s="104"/>
      <c r="K699" s="682"/>
    </row>
    <row r="700" spans="9:11" x14ac:dyDescent="0.25">
      <c r="I700" s="104"/>
      <c r="J700" s="104"/>
      <c r="K700" s="682"/>
    </row>
    <row r="701" spans="9:11" x14ac:dyDescent="0.25">
      <c r="I701" s="104"/>
      <c r="J701" s="104"/>
      <c r="K701" s="682"/>
    </row>
    <row r="702" spans="9:11" x14ac:dyDescent="0.25">
      <c r="I702" s="104"/>
      <c r="J702" s="104"/>
      <c r="K702" s="682"/>
    </row>
    <row r="703" spans="9:11" x14ac:dyDescent="0.25">
      <c r="I703" s="104"/>
      <c r="J703" s="104"/>
      <c r="K703" s="682"/>
    </row>
    <row r="704" spans="9:11" x14ac:dyDescent="0.25">
      <c r="I704" s="104"/>
      <c r="J704" s="104"/>
      <c r="K704" s="682"/>
    </row>
    <row r="705" spans="9:11" x14ac:dyDescent="0.25">
      <c r="I705" s="104"/>
      <c r="J705" s="104"/>
      <c r="K705" s="682"/>
    </row>
    <row r="706" spans="9:11" x14ac:dyDescent="0.25">
      <c r="I706" s="104"/>
      <c r="J706" s="104"/>
      <c r="K706" s="682"/>
    </row>
    <row r="707" spans="9:11" x14ac:dyDescent="0.25">
      <c r="I707" s="104"/>
      <c r="J707" s="104"/>
      <c r="K707" s="682"/>
    </row>
    <row r="708" spans="9:11" x14ac:dyDescent="0.25">
      <c r="I708" s="104"/>
      <c r="J708" s="104"/>
      <c r="K708" s="682"/>
    </row>
    <row r="709" spans="9:11" x14ac:dyDescent="0.25">
      <c r="I709" s="104"/>
      <c r="J709" s="104"/>
      <c r="K709" s="682"/>
    </row>
    <row r="710" spans="9:11" x14ac:dyDescent="0.25">
      <c r="I710" s="104"/>
      <c r="J710" s="104"/>
      <c r="K710" s="682"/>
    </row>
    <row r="711" spans="9:11" x14ac:dyDescent="0.25">
      <c r="I711" s="104"/>
      <c r="J711" s="104"/>
      <c r="K711" s="682"/>
    </row>
    <row r="712" spans="9:11" x14ac:dyDescent="0.25">
      <c r="I712" s="104"/>
      <c r="J712" s="104"/>
      <c r="K712" s="682"/>
    </row>
    <row r="713" spans="9:11" x14ac:dyDescent="0.25">
      <c r="I713" s="104"/>
      <c r="J713" s="104"/>
      <c r="K713" s="682"/>
    </row>
    <row r="714" spans="9:11" x14ac:dyDescent="0.25">
      <c r="I714" s="104"/>
      <c r="J714" s="104"/>
      <c r="K714" s="682"/>
    </row>
    <row r="715" spans="9:11" x14ac:dyDescent="0.25">
      <c r="I715" s="104"/>
      <c r="J715" s="104"/>
      <c r="K715" s="682"/>
    </row>
    <row r="716" spans="9:11" x14ac:dyDescent="0.25">
      <c r="I716" s="104"/>
      <c r="J716" s="104"/>
      <c r="K716" s="682"/>
    </row>
    <row r="717" spans="9:11" x14ac:dyDescent="0.25">
      <c r="I717" s="104"/>
      <c r="J717" s="104"/>
      <c r="K717" s="682"/>
    </row>
    <row r="718" spans="9:11" x14ac:dyDescent="0.25">
      <c r="I718" s="104"/>
      <c r="J718" s="104"/>
      <c r="K718" s="682"/>
    </row>
    <row r="719" spans="9:11" x14ac:dyDescent="0.25">
      <c r="I719" s="104"/>
      <c r="J719" s="104"/>
      <c r="K719" s="682"/>
    </row>
    <row r="720" spans="9:11" x14ac:dyDescent="0.25">
      <c r="I720" s="104"/>
      <c r="J720" s="104"/>
      <c r="K720" s="682"/>
    </row>
    <row r="721" spans="9:11" x14ac:dyDescent="0.25">
      <c r="I721" s="104"/>
      <c r="J721" s="104"/>
      <c r="K721" s="682"/>
    </row>
    <row r="722" spans="9:11" x14ac:dyDescent="0.25">
      <c r="I722" s="104"/>
      <c r="J722" s="104"/>
      <c r="K722" s="682"/>
    </row>
    <row r="723" spans="9:11" x14ac:dyDescent="0.25">
      <c r="I723" s="104"/>
      <c r="J723" s="104"/>
      <c r="K723" s="682"/>
    </row>
    <row r="724" spans="9:11" x14ac:dyDescent="0.25">
      <c r="I724" s="104"/>
      <c r="J724" s="104"/>
      <c r="K724" s="682"/>
    </row>
    <row r="725" spans="9:11" x14ac:dyDescent="0.25">
      <c r="I725" s="104"/>
      <c r="J725" s="104"/>
      <c r="K725" s="682"/>
    </row>
    <row r="726" spans="9:11" x14ac:dyDescent="0.25">
      <c r="I726" s="104"/>
      <c r="J726" s="104"/>
      <c r="K726" s="682"/>
    </row>
    <row r="727" spans="9:11" x14ac:dyDescent="0.25">
      <c r="I727" s="104"/>
      <c r="J727" s="104"/>
      <c r="K727" s="682"/>
    </row>
    <row r="728" spans="9:11" x14ac:dyDescent="0.25">
      <c r="I728" s="104"/>
      <c r="J728" s="104"/>
      <c r="K728" s="682"/>
    </row>
    <row r="729" spans="9:11" x14ac:dyDescent="0.25">
      <c r="I729" s="104"/>
      <c r="J729" s="104"/>
      <c r="K729" s="682"/>
    </row>
    <row r="730" spans="9:11" x14ac:dyDescent="0.25">
      <c r="I730" s="104"/>
      <c r="J730" s="104"/>
      <c r="K730" s="682"/>
    </row>
    <row r="731" spans="9:11" x14ac:dyDescent="0.25">
      <c r="I731" s="104"/>
      <c r="J731" s="104"/>
      <c r="K731" s="682"/>
    </row>
    <row r="732" spans="9:11" x14ac:dyDescent="0.25">
      <c r="I732" s="104"/>
      <c r="J732" s="104"/>
      <c r="K732" s="682"/>
    </row>
    <row r="733" spans="9:11" x14ac:dyDescent="0.25">
      <c r="I733" s="104"/>
      <c r="J733" s="104"/>
      <c r="K733" s="682"/>
    </row>
    <row r="734" spans="9:11" x14ac:dyDescent="0.25">
      <c r="I734" s="104"/>
      <c r="J734" s="104"/>
      <c r="K734" s="682"/>
    </row>
    <row r="735" spans="9:11" x14ac:dyDescent="0.25">
      <c r="I735" s="104"/>
      <c r="J735" s="104"/>
      <c r="K735" s="682"/>
    </row>
    <row r="736" spans="9:11" x14ac:dyDescent="0.25">
      <c r="I736" s="104"/>
      <c r="J736" s="104"/>
      <c r="K736" s="682"/>
    </row>
    <row r="737" spans="9:11" x14ac:dyDescent="0.25">
      <c r="I737" s="104"/>
      <c r="J737" s="104"/>
      <c r="K737" s="682"/>
    </row>
    <row r="738" spans="9:11" x14ac:dyDescent="0.25">
      <c r="I738" s="104"/>
      <c r="J738" s="104"/>
      <c r="K738" s="682"/>
    </row>
    <row r="739" spans="9:11" x14ac:dyDescent="0.25">
      <c r="I739" s="104"/>
      <c r="J739" s="104"/>
      <c r="K739" s="682"/>
    </row>
    <row r="740" spans="9:11" x14ac:dyDescent="0.25">
      <c r="I740" s="104"/>
      <c r="J740" s="104"/>
      <c r="K740" s="682"/>
    </row>
    <row r="741" spans="9:11" x14ac:dyDescent="0.25">
      <c r="I741" s="104"/>
      <c r="J741" s="104"/>
      <c r="K741" s="682"/>
    </row>
    <row r="742" spans="9:11" x14ac:dyDescent="0.25">
      <c r="I742" s="104"/>
      <c r="J742" s="104"/>
      <c r="K742" s="682"/>
    </row>
    <row r="743" spans="9:11" x14ac:dyDescent="0.25">
      <c r="I743" s="104"/>
      <c r="J743" s="104"/>
      <c r="K743" s="682"/>
    </row>
    <row r="744" spans="9:11" x14ac:dyDescent="0.25">
      <c r="I744" s="104"/>
      <c r="J744" s="104"/>
      <c r="K744" s="682"/>
    </row>
    <row r="745" spans="9:11" x14ac:dyDescent="0.25">
      <c r="I745" s="104"/>
      <c r="J745" s="104"/>
      <c r="K745" s="682"/>
    </row>
    <row r="746" spans="9:11" x14ac:dyDescent="0.25">
      <c r="I746" s="104"/>
      <c r="J746" s="104"/>
      <c r="K746" s="682"/>
    </row>
    <row r="747" spans="9:11" x14ac:dyDescent="0.25">
      <c r="I747" s="104"/>
      <c r="J747" s="104"/>
      <c r="K747" s="682"/>
    </row>
    <row r="748" spans="9:11" x14ac:dyDescent="0.25">
      <c r="I748" s="104"/>
      <c r="J748" s="104"/>
      <c r="K748" s="682"/>
    </row>
    <row r="749" spans="9:11" x14ac:dyDescent="0.25">
      <c r="I749" s="104"/>
      <c r="J749" s="104"/>
      <c r="K749" s="682"/>
    </row>
    <row r="750" spans="9:11" x14ac:dyDescent="0.25">
      <c r="I750" s="104"/>
      <c r="J750" s="104"/>
      <c r="K750" s="682"/>
    </row>
    <row r="751" spans="9:11" x14ac:dyDescent="0.25">
      <c r="I751" s="104"/>
      <c r="J751" s="104"/>
      <c r="K751" s="682"/>
    </row>
    <row r="752" spans="9:11" x14ac:dyDescent="0.25">
      <c r="I752" s="104"/>
      <c r="J752" s="104"/>
      <c r="K752" s="682"/>
    </row>
    <row r="753" spans="9:11" x14ac:dyDescent="0.25">
      <c r="I753" s="104"/>
      <c r="J753" s="104"/>
      <c r="K753" s="682"/>
    </row>
    <row r="754" spans="9:11" x14ac:dyDescent="0.25">
      <c r="I754" s="104"/>
      <c r="J754" s="104"/>
      <c r="K754" s="682"/>
    </row>
    <row r="755" spans="9:11" x14ac:dyDescent="0.25">
      <c r="I755" s="104"/>
      <c r="J755" s="104"/>
      <c r="K755" s="682"/>
    </row>
    <row r="756" spans="9:11" x14ac:dyDescent="0.25">
      <c r="I756" s="104"/>
      <c r="J756" s="104"/>
      <c r="K756" s="682"/>
    </row>
    <row r="757" spans="9:11" x14ac:dyDescent="0.25">
      <c r="I757" s="104"/>
      <c r="J757" s="104"/>
      <c r="K757" s="682"/>
    </row>
    <row r="758" spans="9:11" x14ac:dyDescent="0.25">
      <c r="I758" s="104"/>
      <c r="J758" s="104"/>
      <c r="K758" s="682"/>
    </row>
    <row r="759" spans="9:11" x14ac:dyDescent="0.25">
      <c r="I759" s="104"/>
      <c r="J759" s="104"/>
      <c r="K759" s="682"/>
    </row>
    <row r="760" spans="9:11" x14ac:dyDescent="0.25">
      <c r="I760" s="104"/>
      <c r="J760" s="104"/>
      <c r="K760" s="682"/>
    </row>
    <row r="761" spans="9:11" x14ac:dyDescent="0.25">
      <c r="I761" s="104"/>
      <c r="J761" s="104"/>
      <c r="K761" s="682"/>
    </row>
    <row r="762" spans="9:11" x14ac:dyDescent="0.25">
      <c r="I762" s="104"/>
      <c r="J762" s="104"/>
      <c r="K762" s="682"/>
    </row>
    <row r="763" spans="9:11" x14ac:dyDescent="0.25">
      <c r="I763" s="104"/>
      <c r="J763" s="104"/>
      <c r="K763" s="682"/>
    </row>
    <row r="764" spans="9:11" x14ac:dyDescent="0.25">
      <c r="I764" s="104"/>
      <c r="J764" s="104"/>
      <c r="K764" s="682"/>
    </row>
    <row r="765" spans="9:11" x14ac:dyDescent="0.25">
      <c r="I765" s="104"/>
      <c r="J765" s="104"/>
      <c r="K765" s="682"/>
    </row>
    <row r="766" spans="9:11" x14ac:dyDescent="0.25">
      <c r="I766" s="104"/>
      <c r="J766" s="104"/>
      <c r="K766" s="682"/>
    </row>
    <row r="767" spans="9:11" x14ac:dyDescent="0.25">
      <c r="I767" s="104"/>
      <c r="J767" s="104"/>
      <c r="K767" s="682"/>
    </row>
    <row r="768" spans="9:11" x14ac:dyDescent="0.25">
      <c r="I768" s="104"/>
      <c r="J768" s="104"/>
      <c r="K768" s="682"/>
    </row>
    <row r="769" spans="9:11" x14ac:dyDescent="0.25">
      <c r="I769" s="104"/>
      <c r="J769" s="104"/>
      <c r="K769" s="682"/>
    </row>
    <row r="770" spans="9:11" x14ac:dyDescent="0.25">
      <c r="I770" s="104"/>
      <c r="J770" s="104"/>
      <c r="K770" s="682"/>
    </row>
    <row r="771" spans="9:11" x14ac:dyDescent="0.25">
      <c r="I771" s="104"/>
      <c r="J771" s="104"/>
      <c r="K771" s="682"/>
    </row>
    <row r="772" spans="9:11" x14ac:dyDescent="0.25">
      <c r="I772" s="104"/>
      <c r="J772" s="104"/>
      <c r="K772" s="682"/>
    </row>
    <row r="773" spans="9:11" x14ac:dyDescent="0.25">
      <c r="I773" s="104"/>
      <c r="J773" s="104"/>
      <c r="K773" s="682"/>
    </row>
    <row r="774" spans="9:11" x14ac:dyDescent="0.25">
      <c r="I774" s="104"/>
      <c r="J774" s="104"/>
      <c r="K774" s="682"/>
    </row>
    <row r="775" spans="9:11" x14ac:dyDescent="0.25">
      <c r="I775" s="104"/>
      <c r="J775" s="104"/>
      <c r="K775" s="682"/>
    </row>
    <row r="776" spans="9:11" x14ac:dyDescent="0.25">
      <c r="I776" s="104"/>
      <c r="J776" s="104"/>
      <c r="K776" s="682"/>
    </row>
    <row r="777" spans="9:11" x14ac:dyDescent="0.25">
      <c r="I777" s="104"/>
      <c r="J777" s="104"/>
      <c r="K777" s="682"/>
    </row>
    <row r="778" spans="9:11" x14ac:dyDescent="0.25">
      <c r="I778" s="104"/>
      <c r="J778" s="104"/>
      <c r="K778" s="682"/>
    </row>
    <row r="779" spans="9:11" x14ac:dyDescent="0.25">
      <c r="I779" s="104"/>
      <c r="J779" s="104"/>
      <c r="K779" s="682"/>
    </row>
    <row r="780" spans="9:11" x14ac:dyDescent="0.25">
      <c r="I780" s="104"/>
      <c r="J780" s="104"/>
      <c r="K780" s="682"/>
    </row>
    <row r="781" spans="9:11" x14ac:dyDescent="0.25">
      <c r="I781" s="104"/>
      <c r="J781" s="104"/>
      <c r="K781" s="682"/>
    </row>
    <row r="782" spans="9:11" x14ac:dyDescent="0.25">
      <c r="I782" s="104"/>
      <c r="J782" s="104"/>
      <c r="K782" s="682"/>
    </row>
    <row r="783" spans="9:11" x14ac:dyDescent="0.25">
      <c r="I783" s="104"/>
      <c r="J783" s="104"/>
      <c r="K783" s="682"/>
    </row>
    <row r="784" spans="9:11" x14ac:dyDescent="0.25">
      <c r="I784" s="104"/>
      <c r="J784" s="104"/>
      <c r="K784" s="682"/>
    </row>
    <row r="785" spans="9:11" x14ac:dyDescent="0.25">
      <c r="I785" s="104"/>
      <c r="J785" s="104"/>
      <c r="K785" s="682"/>
    </row>
    <row r="786" spans="9:11" x14ac:dyDescent="0.25">
      <c r="I786" s="104"/>
      <c r="J786" s="104"/>
      <c r="K786" s="682"/>
    </row>
    <row r="787" spans="9:11" x14ac:dyDescent="0.25">
      <c r="I787" s="104"/>
      <c r="J787" s="104"/>
      <c r="K787" s="682"/>
    </row>
    <row r="788" spans="9:11" x14ac:dyDescent="0.25">
      <c r="I788" s="104"/>
      <c r="J788" s="104"/>
      <c r="K788" s="682"/>
    </row>
    <row r="789" spans="9:11" x14ac:dyDescent="0.25">
      <c r="I789" s="104"/>
      <c r="J789" s="104"/>
      <c r="K789" s="682"/>
    </row>
    <row r="790" spans="9:11" x14ac:dyDescent="0.25">
      <c r="I790" s="104"/>
      <c r="J790" s="104"/>
      <c r="K790" s="682"/>
    </row>
    <row r="791" spans="9:11" x14ac:dyDescent="0.25">
      <c r="I791" s="104"/>
      <c r="J791" s="104"/>
      <c r="K791" s="682"/>
    </row>
    <row r="792" spans="9:11" x14ac:dyDescent="0.25">
      <c r="I792" s="104"/>
      <c r="J792" s="104"/>
      <c r="K792" s="682"/>
    </row>
    <row r="793" spans="9:11" x14ac:dyDescent="0.25">
      <c r="I793" s="104"/>
      <c r="J793" s="104"/>
      <c r="K793" s="682"/>
    </row>
    <row r="794" spans="9:11" x14ac:dyDescent="0.25">
      <c r="I794" s="104"/>
      <c r="J794" s="104"/>
      <c r="K794" s="682"/>
    </row>
    <row r="795" spans="9:11" x14ac:dyDescent="0.25">
      <c r="I795" s="104"/>
      <c r="J795" s="104"/>
      <c r="K795" s="682"/>
    </row>
    <row r="796" spans="9:11" x14ac:dyDescent="0.25">
      <c r="I796" s="104"/>
      <c r="J796" s="104"/>
      <c r="K796" s="682"/>
    </row>
    <row r="797" spans="9:11" x14ac:dyDescent="0.25">
      <c r="I797" s="104"/>
      <c r="J797" s="104"/>
      <c r="K797" s="682"/>
    </row>
    <row r="798" spans="9:11" x14ac:dyDescent="0.25">
      <c r="I798" s="104"/>
      <c r="J798" s="104"/>
      <c r="K798" s="682"/>
    </row>
    <row r="799" spans="9:11" x14ac:dyDescent="0.25">
      <c r="I799" s="104"/>
      <c r="J799" s="104"/>
      <c r="K799" s="682"/>
    </row>
    <row r="800" spans="9:11" x14ac:dyDescent="0.25">
      <c r="I800" s="104"/>
      <c r="J800" s="104"/>
      <c r="K800" s="682"/>
    </row>
    <row r="801" spans="9:11" x14ac:dyDescent="0.25">
      <c r="I801" s="104"/>
      <c r="J801" s="104"/>
      <c r="K801" s="682"/>
    </row>
    <row r="802" spans="9:11" x14ac:dyDescent="0.25">
      <c r="I802" s="104"/>
      <c r="J802" s="104"/>
      <c r="K802" s="682"/>
    </row>
    <row r="803" spans="9:11" x14ac:dyDescent="0.25">
      <c r="I803" s="104"/>
      <c r="J803" s="104"/>
      <c r="K803" s="682"/>
    </row>
    <row r="804" spans="9:11" x14ac:dyDescent="0.25">
      <c r="I804" s="104"/>
      <c r="J804" s="104"/>
      <c r="K804" s="682"/>
    </row>
    <row r="805" spans="9:11" x14ac:dyDescent="0.25">
      <c r="I805" s="104"/>
      <c r="J805" s="104"/>
      <c r="K805" s="682"/>
    </row>
    <row r="806" spans="9:11" x14ac:dyDescent="0.25">
      <c r="I806" s="104"/>
      <c r="J806" s="104"/>
      <c r="K806" s="682"/>
    </row>
    <row r="807" spans="9:11" x14ac:dyDescent="0.25">
      <c r="I807" s="104"/>
      <c r="J807" s="104"/>
      <c r="K807" s="682"/>
    </row>
    <row r="808" spans="9:11" x14ac:dyDescent="0.25">
      <c r="I808" s="104"/>
      <c r="J808" s="104"/>
      <c r="K808" s="682"/>
    </row>
    <row r="809" spans="9:11" x14ac:dyDescent="0.25">
      <c r="I809" s="104"/>
      <c r="J809" s="104"/>
      <c r="K809" s="682"/>
    </row>
    <row r="810" spans="9:11" x14ac:dyDescent="0.25">
      <c r="I810" s="104"/>
      <c r="J810" s="104"/>
      <c r="K810" s="682"/>
    </row>
    <row r="811" spans="9:11" x14ac:dyDescent="0.25">
      <c r="I811" s="104"/>
      <c r="J811" s="104"/>
      <c r="K811" s="682"/>
    </row>
    <row r="812" spans="9:11" x14ac:dyDescent="0.25">
      <c r="I812" s="104"/>
      <c r="J812" s="104"/>
      <c r="K812" s="682"/>
    </row>
    <row r="813" spans="9:11" x14ac:dyDescent="0.25">
      <c r="I813" s="104"/>
      <c r="J813" s="104"/>
      <c r="K813" s="682"/>
    </row>
    <row r="814" spans="9:11" x14ac:dyDescent="0.25">
      <c r="I814" s="104"/>
      <c r="J814" s="104"/>
      <c r="K814" s="682"/>
    </row>
    <row r="815" spans="9:11" x14ac:dyDescent="0.25">
      <c r="I815" s="104"/>
      <c r="J815" s="104"/>
      <c r="K815" s="682"/>
    </row>
    <row r="816" spans="9:11" x14ac:dyDescent="0.25">
      <c r="I816" s="104"/>
      <c r="J816" s="104"/>
      <c r="K816" s="682"/>
    </row>
    <row r="817" spans="9:11" x14ac:dyDescent="0.25">
      <c r="I817" s="104"/>
      <c r="J817" s="104"/>
      <c r="K817" s="682"/>
    </row>
    <row r="818" spans="9:11" x14ac:dyDescent="0.25">
      <c r="I818" s="104"/>
      <c r="J818" s="104"/>
      <c r="K818" s="682"/>
    </row>
    <row r="819" spans="9:11" x14ac:dyDescent="0.25">
      <c r="I819" s="104"/>
      <c r="J819" s="104"/>
      <c r="K819" s="682"/>
    </row>
    <row r="820" spans="9:11" x14ac:dyDescent="0.25">
      <c r="I820" s="104"/>
      <c r="J820" s="104"/>
      <c r="K820" s="682"/>
    </row>
    <row r="821" spans="9:11" x14ac:dyDescent="0.25">
      <c r="I821" s="104"/>
      <c r="J821" s="104"/>
      <c r="K821" s="682"/>
    </row>
    <row r="822" spans="9:11" x14ac:dyDescent="0.25">
      <c r="I822" s="104"/>
      <c r="J822" s="104"/>
      <c r="K822" s="682"/>
    </row>
    <row r="823" spans="9:11" x14ac:dyDescent="0.25">
      <c r="I823" s="104"/>
      <c r="J823" s="104"/>
      <c r="K823" s="682"/>
    </row>
    <row r="824" spans="9:11" x14ac:dyDescent="0.25">
      <c r="I824" s="104"/>
      <c r="J824" s="104"/>
      <c r="K824" s="682"/>
    </row>
    <row r="825" spans="9:11" x14ac:dyDescent="0.25">
      <c r="I825" s="104"/>
      <c r="J825" s="104"/>
      <c r="K825" s="682"/>
    </row>
    <row r="826" spans="9:11" x14ac:dyDescent="0.25">
      <c r="I826" s="104"/>
      <c r="J826" s="104"/>
      <c r="K826" s="682"/>
    </row>
    <row r="827" spans="9:11" x14ac:dyDescent="0.25">
      <c r="I827" s="104"/>
      <c r="J827" s="104"/>
      <c r="K827" s="682"/>
    </row>
    <row r="828" spans="9:11" x14ac:dyDescent="0.25">
      <c r="I828" s="104"/>
      <c r="J828" s="104"/>
      <c r="K828" s="682"/>
    </row>
    <row r="829" spans="9:11" x14ac:dyDescent="0.25">
      <c r="I829" s="104"/>
      <c r="J829" s="104"/>
      <c r="K829" s="682"/>
    </row>
    <row r="830" spans="9:11" x14ac:dyDescent="0.25">
      <c r="I830" s="104"/>
      <c r="J830" s="104"/>
      <c r="K830" s="682"/>
    </row>
    <row r="831" spans="9:11" x14ac:dyDescent="0.25">
      <c r="I831" s="104"/>
      <c r="J831" s="104"/>
      <c r="K831" s="682"/>
    </row>
    <row r="832" spans="9:11" x14ac:dyDescent="0.25">
      <c r="I832" s="104"/>
      <c r="J832" s="104"/>
      <c r="K832" s="682"/>
    </row>
    <row r="833" spans="9:11" x14ac:dyDescent="0.25">
      <c r="I833" s="104"/>
      <c r="J833" s="104"/>
      <c r="K833" s="682"/>
    </row>
    <row r="834" spans="9:11" x14ac:dyDescent="0.25">
      <c r="I834" s="104"/>
      <c r="J834" s="104"/>
      <c r="K834" s="682"/>
    </row>
    <row r="835" spans="9:11" x14ac:dyDescent="0.25">
      <c r="I835" s="104"/>
      <c r="J835" s="104"/>
      <c r="K835" s="682"/>
    </row>
    <row r="836" spans="9:11" x14ac:dyDescent="0.25">
      <c r="I836" s="104"/>
      <c r="J836" s="104"/>
      <c r="K836" s="682"/>
    </row>
    <row r="837" spans="9:11" x14ac:dyDescent="0.25">
      <c r="I837" s="104"/>
      <c r="J837" s="104"/>
      <c r="K837" s="682"/>
    </row>
    <row r="838" spans="9:11" x14ac:dyDescent="0.25">
      <c r="I838" s="104"/>
      <c r="J838" s="104"/>
      <c r="K838" s="682"/>
    </row>
    <row r="839" spans="9:11" x14ac:dyDescent="0.25">
      <c r="I839" s="104"/>
      <c r="J839" s="104"/>
      <c r="K839" s="682"/>
    </row>
    <row r="840" spans="9:11" x14ac:dyDescent="0.25">
      <c r="I840" s="104"/>
      <c r="J840" s="104"/>
      <c r="K840" s="682"/>
    </row>
    <row r="841" spans="9:11" x14ac:dyDescent="0.25">
      <c r="I841" s="104"/>
      <c r="J841" s="104"/>
      <c r="K841" s="682"/>
    </row>
    <row r="842" spans="9:11" x14ac:dyDescent="0.25">
      <c r="I842" s="104"/>
      <c r="J842" s="104"/>
      <c r="K842" s="682"/>
    </row>
    <row r="843" spans="9:11" x14ac:dyDescent="0.25">
      <c r="I843" s="104"/>
      <c r="J843" s="104"/>
      <c r="K843" s="682"/>
    </row>
    <row r="844" spans="9:11" x14ac:dyDescent="0.25">
      <c r="I844" s="104"/>
      <c r="J844" s="104"/>
      <c r="K844" s="682"/>
    </row>
    <row r="845" spans="9:11" x14ac:dyDescent="0.25">
      <c r="I845" s="104"/>
      <c r="J845" s="104"/>
      <c r="K845" s="682"/>
    </row>
    <row r="846" spans="9:11" x14ac:dyDescent="0.25">
      <c r="I846" s="104"/>
      <c r="J846" s="104"/>
      <c r="K846" s="682"/>
    </row>
    <row r="847" spans="9:11" x14ac:dyDescent="0.25">
      <c r="I847" s="104"/>
      <c r="J847" s="104"/>
      <c r="K847" s="682"/>
    </row>
    <row r="848" spans="9:11" x14ac:dyDescent="0.25">
      <c r="I848" s="104"/>
      <c r="J848" s="104"/>
      <c r="K848" s="682"/>
    </row>
    <row r="849" spans="9:11" x14ac:dyDescent="0.25">
      <c r="I849" s="104"/>
      <c r="J849" s="104"/>
      <c r="K849" s="682"/>
    </row>
    <row r="850" spans="9:11" x14ac:dyDescent="0.25">
      <c r="I850" s="104"/>
      <c r="J850" s="104"/>
      <c r="K850" s="682"/>
    </row>
    <row r="851" spans="9:11" x14ac:dyDescent="0.25">
      <c r="I851" s="104"/>
      <c r="J851" s="104"/>
      <c r="K851" s="682"/>
    </row>
    <row r="852" spans="9:11" x14ac:dyDescent="0.25">
      <c r="I852" s="104"/>
      <c r="J852" s="104"/>
      <c r="K852" s="682"/>
    </row>
    <row r="853" spans="9:11" x14ac:dyDescent="0.25">
      <c r="I853" s="104"/>
      <c r="J853" s="104"/>
      <c r="K853" s="682"/>
    </row>
    <row r="854" spans="9:11" x14ac:dyDescent="0.25">
      <c r="I854" s="104"/>
      <c r="J854" s="104"/>
      <c r="K854" s="682"/>
    </row>
    <row r="855" spans="9:11" x14ac:dyDescent="0.25">
      <c r="I855" s="104"/>
      <c r="J855" s="104"/>
      <c r="K855" s="682"/>
    </row>
    <row r="856" spans="9:11" x14ac:dyDescent="0.25">
      <c r="I856" s="104"/>
      <c r="J856" s="104"/>
      <c r="K856" s="682"/>
    </row>
    <row r="857" spans="9:11" x14ac:dyDescent="0.25">
      <c r="I857" s="104"/>
      <c r="J857" s="104"/>
      <c r="K857" s="682"/>
    </row>
    <row r="858" spans="9:11" x14ac:dyDescent="0.25">
      <c r="I858" s="104"/>
      <c r="J858" s="104"/>
      <c r="K858" s="682"/>
    </row>
    <row r="859" spans="9:11" x14ac:dyDescent="0.25">
      <c r="I859" s="104"/>
      <c r="J859" s="104"/>
      <c r="K859" s="682"/>
    </row>
    <row r="860" spans="9:11" x14ac:dyDescent="0.25">
      <c r="I860" s="104"/>
      <c r="J860" s="104"/>
      <c r="K860" s="682"/>
    </row>
    <row r="861" spans="9:11" x14ac:dyDescent="0.25">
      <c r="I861" s="104"/>
      <c r="J861" s="104"/>
      <c r="K861" s="682"/>
    </row>
    <row r="862" spans="9:11" x14ac:dyDescent="0.25">
      <c r="I862" s="104"/>
      <c r="J862" s="104"/>
      <c r="K862" s="682"/>
    </row>
    <row r="863" spans="9:11" x14ac:dyDescent="0.25">
      <c r="I863" s="104"/>
      <c r="J863" s="104"/>
      <c r="K863" s="682"/>
    </row>
    <row r="864" spans="9:11" x14ac:dyDescent="0.25">
      <c r="I864" s="104"/>
      <c r="J864" s="104"/>
      <c r="K864" s="682"/>
    </row>
    <row r="865" spans="9:11" x14ac:dyDescent="0.25">
      <c r="I865" s="104"/>
      <c r="J865" s="104"/>
      <c r="K865" s="682"/>
    </row>
    <row r="866" spans="9:11" x14ac:dyDescent="0.25">
      <c r="I866" s="104"/>
      <c r="J866" s="104"/>
      <c r="K866" s="682"/>
    </row>
    <row r="867" spans="9:11" x14ac:dyDescent="0.25">
      <c r="I867" s="104"/>
      <c r="J867" s="104"/>
      <c r="K867" s="682"/>
    </row>
    <row r="868" spans="9:11" x14ac:dyDescent="0.25">
      <c r="I868" s="104"/>
      <c r="J868" s="104"/>
      <c r="K868" s="682"/>
    </row>
    <row r="869" spans="9:11" x14ac:dyDescent="0.25">
      <c r="I869" s="104"/>
      <c r="J869" s="104"/>
      <c r="K869" s="682"/>
    </row>
    <row r="870" spans="9:11" x14ac:dyDescent="0.25">
      <c r="I870" s="104"/>
      <c r="J870" s="104"/>
      <c r="K870" s="682"/>
    </row>
    <row r="871" spans="9:11" x14ac:dyDescent="0.25">
      <c r="I871" s="104"/>
      <c r="J871" s="104"/>
      <c r="K871" s="682"/>
    </row>
    <row r="872" spans="9:11" x14ac:dyDescent="0.25">
      <c r="I872" s="104"/>
      <c r="J872" s="104"/>
      <c r="K872" s="682"/>
    </row>
    <row r="873" spans="9:11" x14ac:dyDescent="0.25">
      <c r="I873" s="104"/>
      <c r="J873" s="104"/>
      <c r="K873" s="682"/>
    </row>
    <row r="874" spans="9:11" x14ac:dyDescent="0.25">
      <c r="I874" s="104"/>
      <c r="J874" s="104"/>
      <c r="K874" s="682"/>
    </row>
    <row r="875" spans="9:11" x14ac:dyDescent="0.25">
      <c r="I875" s="104"/>
      <c r="J875" s="104"/>
      <c r="K875" s="682"/>
    </row>
    <row r="876" spans="9:11" x14ac:dyDescent="0.25">
      <c r="I876" s="104"/>
      <c r="J876" s="104"/>
      <c r="K876" s="682"/>
    </row>
    <row r="877" spans="9:11" x14ac:dyDescent="0.25">
      <c r="I877" s="104"/>
      <c r="J877" s="104"/>
      <c r="K877" s="682"/>
    </row>
    <row r="878" spans="9:11" x14ac:dyDescent="0.25">
      <c r="I878" s="104"/>
      <c r="J878" s="104"/>
      <c r="K878" s="682"/>
    </row>
    <row r="879" spans="9:11" x14ac:dyDescent="0.25">
      <c r="I879" s="104"/>
      <c r="J879" s="104"/>
      <c r="K879" s="682"/>
    </row>
    <row r="880" spans="9:11" x14ac:dyDescent="0.25">
      <c r="I880" s="104"/>
      <c r="J880" s="104"/>
      <c r="K880" s="682"/>
    </row>
    <row r="881" spans="9:11" x14ac:dyDescent="0.25">
      <c r="I881" s="104"/>
      <c r="J881" s="104"/>
      <c r="K881" s="682"/>
    </row>
    <row r="882" spans="9:11" x14ac:dyDescent="0.25">
      <c r="I882" s="104"/>
      <c r="J882" s="104"/>
      <c r="K882" s="682"/>
    </row>
    <row r="883" spans="9:11" x14ac:dyDescent="0.25">
      <c r="I883" s="104"/>
      <c r="J883" s="104"/>
      <c r="K883" s="682"/>
    </row>
    <row r="884" spans="9:11" x14ac:dyDescent="0.25">
      <c r="I884" s="104"/>
      <c r="J884" s="104"/>
      <c r="K884" s="682"/>
    </row>
    <row r="885" spans="9:11" x14ac:dyDescent="0.25">
      <c r="I885" s="104"/>
      <c r="J885" s="104"/>
      <c r="K885" s="682"/>
    </row>
    <row r="886" spans="9:11" x14ac:dyDescent="0.25">
      <c r="I886" s="104"/>
      <c r="J886" s="104"/>
      <c r="K886" s="682"/>
    </row>
    <row r="887" spans="9:11" x14ac:dyDescent="0.25">
      <c r="I887" s="104"/>
      <c r="J887" s="104"/>
      <c r="K887" s="682"/>
    </row>
    <row r="888" spans="9:11" x14ac:dyDescent="0.25">
      <c r="I888" s="104"/>
      <c r="J888" s="104"/>
      <c r="K888" s="682"/>
    </row>
    <row r="889" spans="9:11" x14ac:dyDescent="0.25">
      <c r="I889" s="104"/>
      <c r="J889" s="104"/>
      <c r="K889" s="682"/>
    </row>
    <row r="890" spans="9:11" x14ac:dyDescent="0.25">
      <c r="I890" s="104"/>
      <c r="J890" s="104"/>
      <c r="K890" s="682"/>
    </row>
    <row r="891" spans="9:11" x14ac:dyDescent="0.25">
      <c r="I891" s="104"/>
      <c r="J891" s="104"/>
      <c r="K891" s="682"/>
    </row>
    <row r="892" spans="9:11" x14ac:dyDescent="0.25">
      <c r="I892" s="104"/>
      <c r="J892" s="104"/>
      <c r="K892" s="682"/>
    </row>
    <row r="893" spans="9:11" x14ac:dyDescent="0.25">
      <c r="I893" s="104"/>
      <c r="J893" s="104"/>
      <c r="K893" s="682"/>
    </row>
    <row r="894" spans="9:11" x14ac:dyDescent="0.25">
      <c r="I894" s="104"/>
      <c r="J894" s="104"/>
      <c r="K894" s="682"/>
    </row>
    <row r="895" spans="9:11" x14ac:dyDescent="0.25">
      <c r="I895" s="104"/>
      <c r="J895" s="104"/>
      <c r="K895" s="682"/>
    </row>
    <row r="896" spans="9:11" x14ac:dyDescent="0.25">
      <c r="I896" s="104"/>
      <c r="J896" s="104"/>
      <c r="K896" s="682"/>
    </row>
    <row r="897" spans="9:11" x14ac:dyDescent="0.25">
      <c r="I897" s="104"/>
      <c r="J897" s="104"/>
      <c r="K897" s="682"/>
    </row>
    <row r="898" spans="9:11" x14ac:dyDescent="0.25">
      <c r="I898" s="104"/>
      <c r="J898" s="104"/>
      <c r="K898" s="682"/>
    </row>
    <row r="899" spans="9:11" x14ac:dyDescent="0.25">
      <c r="I899" s="104"/>
      <c r="J899" s="104"/>
      <c r="K899" s="682"/>
    </row>
    <row r="900" spans="9:11" x14ac:dyDescent="0.25">
      <c r="I900" s="104"/>
      <c r="J900" s="104"/>
      <c r="K900" s="682"/>
    </row>
    <row r="901" spans="9:11" x14ac:dyDescent="0.25">
      <c r="I901" s="104"/>
      <c r="J901" s="104"/>
      <c r="K901" s="682"/>
    </row>
    <row r="902" spans="9:11" x14ac:dyDescent="0.25">
      <c r="I902" s="104"/>
      <c r="J902" s="104"/>
      <c r="K902" s="682"/>
    </row>
    <row r="903" spans="9:11" x14ac:dyDescent="0.25">
      <c r="I903" s="104"/>
      <c r="J903" s="104"/>
      <c r="K903" s="682"/>
    </row>
    <row r="904" spans="9:11" x14ac:dyDescent="0.25">
      <c r="I904" s="104"/>
      <c r="J904" s="104"/>
      <c r="K904" s="682"/>
    </row>
    <row r="905" spans="9:11" x14ac:dyDescent="0.25">
      <c r="I905" s="104"/>
      <c r="J905" s="104"/>
      <c r="K905" s="682"/>
    </row>
    <row r="906" spans="9:11" x14ac:dyDescent="0.25">
      <c r="I906" s="104"/>
      <c r="J906" s="104"/>
      <c r="K906" s="682"/>
    </row>
    <row r="907" spans="9:11" x14ac:dyDescent="0.25">
      <c r="I907" s="104"/>
      <c r="J907" s="104"/>
      <c r="K907" s="682"/>
    </row>
    <row r="908" spans="9:11" x14ac:dyDescent="0.25">
      <c r="I908" s="104"/>
      <c r="J908" s="104"/>
      <c r="K908" s="682"/>
    </row>
    <row r="909" spans="9:11" x14ac:dyDescent="0.25">
      <c r="I909" s="104"/>
      <c r="J909" s="104"/>
      <c r="K909" s="682"/>
    </row>
    <row r="910" spans="9:11" x14ac:dyDescent="0.25">
      <c r="I910" s="104"/>
      <c r="J910" s="104"/>
      <c r="K910" s="682"/>
    </row>
    <row r="911" spans="9:11" x14ac:dyDescent="0.25">
      <c r="I911" s="104"/>
      <c r="J911" s="104"/>
      <c r="K911" s="682"/>
    </row>
    <row r="912" spans="9:11" x14ac:dyDescent="0.25">
      <c r="I912" s="104"/>
      <c r="J912" s="104"/>
      <c r="K912" s="682"/>
    </row>
    <row r="913" spans="9:11" x14ac:dyDescent="0.25">
      <c r="I913" s="104"/>
      <c r="J913" s="104"/>
      <c r="K913" s="682"/>
    </row>
    <row r="914" spans="9:11" x14ac:dyDescent="0.25">
      <c r="I914" s="104"/>
      <c r="J914" s="104"/>
      <c r="K914" s="682"/>
    </row>
    <row r="915" spans="9:11" x14ac:dyDescent="0.25">
      <c r="I915" s="104"/>
      <c r="J915" s="104"/>
      <c r="K915" s="682"/>
    </row>
    <row r="916" spans="9:11" x14ac:dyDescent="0.25">
      <c r="I916" s="104"/>
      <c r="J916" s="104"/>
      <c r="K916" s="682"/>
    </row>
    <row r="917" spans="9:11" x14ac:dyDescent="0.25">
      <c r="I917" s="104"/>
      <c r="J917" s="104"/>
      <c r="K917" s="682"/>
    </row>
    <row r="918" spans="9:11" x14ac:dyDescent="0.25">
      <c r="I918" s="104"/>
      <c r="J918" s="104"/>
      <c r="K918" s="682"/>
    </row>
    <row r="919" spans="9:11" x14ac:dyDescent="0.25">
      <c r="I919" s="104"/>
      <c r="J919" s="104"/>
      <c r="K919" s="682"/>
    </row>
    <row r="920" spans="9:11" x14ac:dyDescent="0.25">
      <c r="I920" s="104"/>
      <c r="J920" s="104"/>
      <c r="K920" s="682"/>
    </row>
    <row r="921" spans="9:11" x14ac:dyDescent="0.25">
      <c r="I921" s="104"/>
      <c r="J921" s="104"/>
      <c r="K921" s="682"/>
    </row>
    <row r="922" spans="9:11" x14ac:dyDescent="0.25">
      <c r="I922" s="104"/>
      <c r="J922" s="104"/>
      <c r="K922" s="682"/>
    </row>
    <row r="923" spans="9:11" x14ac:dyDescent="0.25">
      <c r="I923" s="104"/>
      <c r="J923" s="104"/>
      <c r="K923" s="682"/>
    </row>
    <row r="924" spans="9:11" x14ac:dyDescent="0.25">
      <c r="I924" s="104"/>
      <c r="J924" s="104"/>
      <c r="K924" s="682"/>
    </row>
    <row r="925" spans="9:11" x14ac:dyDescent="0.25">
      <c r="I925" s="104"/>
      <c r="J925" s="104"/>
      <c r="K925" s="682"/>
    </row>
    <row r="926" spans="9:11" x14ac:dyDescent="0.25">
      <c r="I926" s="104"/>
      <c r="J926" s="104"/>
      <c r="K926" s="682"/>
    </row>
    <row r="927" spans="9:11" x14ac:dyDescent="0.25">
      <c r="I927" s="104"/>
      <c r="J927" s="104"/>
      <c r="K927" s="682"/>
    </row>
    <row r="928" spans="9:11" x14ac:dyDescent="0.25">
      <c r="I928" s="104"/>
      <c r="J928" s="104"/>
      <c r="K928" s="682"/>
    </row>
    <row r="929" spans="9:11" x14ac:dyDescent="0.25">
      <c r="I929" s="104"/>
      <c r="J929" s="104"/>
      <c r="K929" s="682"/>
    </row>
    <row r="930" spans="9:11" x14ac:dyDescent="0.25">
      <c r="I930" s="104"/>
      <c r="J930" s="104"/>
      <c r="K930" s="682"/>
    </row>
    <row r="931" spans="9:11" x14ac:dyDescent="0.25">
      <c r="I931" s="104"/>
      <c r="J931" s="104"/>
      <c r="K931" s="682"/>
    </row>
    <row r="932" spans="9:11" x14ac:dyDescent="0.25">
      <c r="I932" s="104"/>
      <c r="J932" s="104"/>
      <c r="K932" s="682"/>
    </row>
    <row r="933" spans="9:11" x14ac:dyDescent="0.25">
      <c r="I933" s="104"/>
      <c r="J933" s="104"/>
      <c r="K933" s="682"/>
    </row>
    <row r="934" spans="9:11" x14ac:dyDescent="0.25">
      <c r="I934" s="104"/>
      <c r="J934" s="104"/>
      <c r="K934" s="682"/>
    </row>
    <row r="935" spans="9:11" x14ac:dyDescent="0.25">
      <c r="I935" s="104"/>
      <c r="J935" s="104"/>
      <c r="K935" s="682"/>
    </row>
    <row r="936" spans="9:11" x14ac:dyDescent="0.25">
      <c r="I936" s="104"/>
      <c r="J936" s="104"/>
      <c r="K936" s="682"/>
    </row>
    <row r="937" spans="9:11" x14ac:dyDescent="0.25">
      <c r="I937" s="104"/>
      <c r="J937" s="104"/>
      <c r="K937" s="682"/>
    </row>
    <row r="938" spans="9:11" x14ac:dyDescent="0.25">
      <c r="I938" s="104"/>
      <c r="J938" s="104"/>
      <c r="K938" s="682"/>
    </row>
    <row r="939" spans="9:11" x14ac:dyDescent="0.25">
      <c r="I939" s="104"/>
      <c r="J939" s="104"/>
      <c r="K939" s="682"/>
    </row>
    <row r="940" spans="9:11" x14ac:dyDescent="0.25">
      <c r="I940" s="104"/>
      <c r="J940" s="104"/>
      <c r="K940" s="682"/>
    </row>
    <row r="941" spans="9:11" x14ac:dyDescent="0.25">
      <c r="I941" s="104"/>
      <c r="J941" s="104"/>
      <c r="K941" s="682"/>
    </row>
    <row r="942" spans="9:11" x14ac:dyDescent="0.25">
      <c r="I942" s="104"/>
      <c r="J942" s="104"/>
      <c r="K942" s="682"/>
    </row>
    <row r="943" spans="9:11" x14ac:dyDescent="0.25">
      <c r="I943" s="104"/>
      <c r="J943" s="104"/>
      <c r="K943" s="682"/>
    </row>
    <row r="944" spans="9:11" x14ac:dyDescent="0.25">
      <c r="I944" s="104"/>
      <c r="J944" s="104"/>
      <c r="K944" s="682"/>
    </row>
    <row r="945" spans="9:11" x14ac:dyDescent="0.25">
      <c r="I945" s="104"/>
      <c r="J945" s="104"/>
      <c r="K945" s="682"/>
    </row>
    <row r="946" spans="9:11" x14ac:dyDescent="0.25">
      <c r="I946" s="104"/>
      <c r="J946" s="104"/>
      <c r="K946" s="682"/>
    </row>
    <row r="947" spans="9:11" x14ac:dyDescent="0.25">
      <c r="I947" s="104"/>
      <c r="J947" s="104"/>
      <c r="K947" s="682"/>
    </row>
    <row r="948" spans="9:11" x14ac:dyDescent="0.25">
      <c r="I948" s="104"/>
      <c r="J948" s="104"/>
      <c r="K948" s="682"/>
    </row>
    <row r="949" spans="9:11" x14ac:dyDescent="0.25">
      <c r="I949" s="104"/>
      <c r="J949" s="104"/>
      <c r="K949" s="682"/>
    </row>
    <row r="950" spans="9:11" x14ac:dyDescent="0.25">
      <c r="I950" s="104"/>
      <c r="J950" s="104"/>
      <c r="K950" s="682"/>
    </row>
    <row r="951" spans="9:11" x14ac:dyDescent="0.25">
      <c r="I951" s="104"/>
      <c r="J951" s="104"/>
      <c r="K951" s="682"/>
    </row>
    <row r="952" spans="9:11" x14ac:dyDescent="0.25">
      <c r="I952" s="104"/>
      <c r="J952" s="104"/>
      <c r="K952" s="682"/>
    </row>
    <row r="953" spans="9:11" x14ac:dyDescent="0.25">
      <c r="I953" s="104"/>
      <c r="J953" s="104"/>
      <c r="K953" s="682"/>
    </row>
    <row r="954" spans="9:11" x14ac:dyDescent="0.25">
      <c r="I954" s="104"/>
      <c r="J954" s="104"/>
      <c r="K954" s="682"/>
    </row>
    <row r="955" spans="9:11" x14ac:dyDescent="0.25">
      <c r="I955" s="104"/>
      <c r="J955" s="104"/>
      <c r="K955" s="682"/>
    </row>
    <row r="956" spans="9:11" x14ac:dyDescent="0.25">
      <c r="I956" s="104"/>
      <c r="J956" s="104"/>
      <c r="K956" s="682"/>
    </row>
    <row r="957" spans="9:11" x14ac:dyDescent="0.25">
      <c r="I957" s="104"/>
      <c r="J957" s="104"/>
      <c r="K957" s="682"/>
    </row>
    <row r="958" spans="9:11" x14ac:dyDescent="0.25">
      <c r="I958" s="104"/>
      <c r="J958" s="104"/>
      <c r="K958" s="682"/>
    </row>
    <row r="959" spans="9:11" x14ac:dyDescent="0.25">
      <c r="I959" s="104"/>
      <c r="J959" s="104"/>
      <c r="K959" s="682"/>
    </row>
    <row r="960" spans="9:11" x14ac:dyDescent="0.25">
      <c r="I960" s="104"/>
      <c r="J960" s="104"/>
      <c r="K960" s="682"/>
    </row>
    <row r="961" spans="9:11" x14ac:dyDescent="0.25">
      <c r="I961" s="104"/>
      <c r="J961" s="104"/>
      <c r="K961" s="682"/>
    </row>
    <row r="962" spans="9:11" x14ac:dyDescent="0.25">
      <c r="I962" s="104"/>
      <c r="J962" s="104"/>
      <c r="K962" s="682"/>
    </row>
    <row r="963" spans="9:11" x14ac:dyDescent="0.25">
      <c r="I963" s="104"/>
      <c r="J963" s="104"/>
      <c r="K963" s="682"/>
    </row>
    <row r="964" spans="9:11" x14ac:dyDescent="0.25">
      <c r="I964" s="104"/>
      <c r="J964" s="104"/>
      <c r="K964" s="682"/>
    </row>
    <row r="965" spans="9:11" x14ac:dyDescent="0.25">
      <c r="I965" s="104"/>
      <c r="J965" s="104"/>
      <c r="K965" s="682"/>
    </row>
    <row r="966" spans="9:11" x14ac:dyDescent="0.25">
      <c r="I966" s="104"/>
      <c r="J966" s="104"/>
      <c r="K966" s="682"/>
    </row>
    <row r="967" spans="9:11" x14ac:dyDescent="0.25">
      <c r="I967" s="104"/>
      <c r="J967" s="104"/>
      <c r="K967" s="682"/>
    </row>
    <row r="968" spans="9:11" x14ac:dyDescent="0.25">
      <c r="I968" s="104"/>
      <c r="J968" s="104"/>
      <c r="K968" s="682"/>
    </row>
    <row r="969" spans="9:11" x14ac:dyDescent="0.25">
      <c r="I969" s="104"/>
      <c r="J969" s="104"/>
      <c r="K969" s="682"/>
    </row>
    <row r="970" spans="9:11" x14ac:dyDescent="0.25">
      <c r="I970" s="104"/>
      <c r="J970" s="104"/>
      <c r="K970" s="682"/>
    </row>
    <row r="971" spans="9:11" x14ac:dyDescent="0.25">
      <c r="I971" s="104"/>
      <c r="J971" s="104"/>
      <c r="K971" s="682"/>
    </row>
    <row r="972" spans="9:11" x14ac:dyDescent="0.25">
      <c r="I972" s="104"/>
      <c r="J972" s="104"/>
      <c r="K972" s="682"/>
    </row>
    <row r="973" spans="9:11" x14ac:dyDescent="0.25">
      <c r="I973" s="104"/>
      <c r="J973" s="104"/>
      <c r="K973" s="682"/>
    </row>
    <row r="974" spans="9:11" x14ac:dyDescent="0.25">
      <c r="I974" s="104"/>
      <c r="J974" s="104"/>
      <c r="K974" s="682"/>
    </row>
    <row r="975" spans="9:11" x14ac:dyDescent="0.25">
      <c r="I975" s="104"/>
      <c r="J975" s="104"/>
      <c r="K975" s="682"/>
    </row>
    <row r="976" spans="9:11" x14ac:dyDescent="0.25">
      <c r="I976" s="104"/>
      <c r="J976" s="104"/>
      <c r="K976" s="682"/>
    </row>
    <row r="977" spans="9:11" x14ac:dyDescent="0.25">
      <c r="I977" s="104"/>
      <c r="J977" s="104"/>
      <c r="K977" s="682"/>
    </row>
    <row r="978" spans="9:11" x14ac:dyDescent="0.25">
      <c r="I978" s="104"/>
      <c r="J978" s="104"/>
      <c r="K978" s="682"/>
    </row>
    <row r="979" spans="9:11" x14ac:dyDescent="0.25">
      <c r="I979" s="104"/>
      <c r="J979" s="104"/>
      <c r="K979" s="682"/>
    </row>
    <row r="980" spans="9:11" x14ac:dyDescent="0.25">
      <c r="I980" s="104"/>
      <c r="J980" s="104"/>
      <c r="K980" s="682"/>
    </row>
    <row r="981" spans="9:11" x14ac:dyDescent="0.25">
      <c r="I981" s="104"/>
      <c r="J981" s="104"/>
      <c r="K981" s="682"/>
    </row>
    <row r="982" spans="9:11" x14ac:dyDescent="0.25">
      <c r="I982" s="104"/>
      <c r="J982" s="104"/>
      <c r="K982" s="682"/>
    </row>
    <row r="983" spans="9:11" x14ac:dyDescent="0.25">
      <c r="I983" s="104"/>
      <c r="J983" s="104"/>
      <c r="K983" s="682"/>
    </row>
    <row r="984" spans="9:11" x14ac:dyDescent="0.25">
      <c r="I984" s="104"/>
      <c r="J984" s="104"/>
      <c r="K984" s="682"/>
    </row>
    <row r="985" spans="9:11" x14ac:dyDescent="0.25">
      <c r="I985" s="104"/>
      <c r="J985" s="104"/>
      <c r="K985" s="682"/>
    </row>
    <row r="986" spans="9:11" x14ac:dyDescent="0.25">
      <c r="I986" s="104"/>
      <c r="J986" s="104"/>
      <c r="K986" s="682"/>
    </row>
    <row r="987" spans="9:11" x14ac:dyDescent="0.25">
      <c r="I987" s="104"/>
      <c r="J987" s="104"/>
      <c r="K987" s="682"/>
    </row>
    <row r="988" spans="9:11" x14ac:dyDescent="0.25">
      <c r="I988" s="104"/>
      <c r="J988" s="104"/>
      <c r="K988" s="682"/>
    </row>
    <row r="989" spans="9:11" x14ac:dyDescent="0.25">
      <c r="I989" s="104"/>
      <c r="J989" s="104"/>
      <c r="K989" s="682"/>
    </row>
    <row r="990" spans="9:11" x14ac:dyDescent="0.25">
      <c r="I990" s="104"/>
      <c r="J990" s="104"/>
      <c r="K990" s="682"/>
    </row>
    <row r="991" spans="9:11" x14ac:dyDescent="0.25">
      <c r="I991" s="104"/>
      <c r="J991" s="104"/>
      <c r="K991" s="682"/>
    </row>
    <row r="992" spans="9:11" x14ac:dyDescent="0.25">
      <c r="I992" s="104"/>
      <c r="J992" s="104"/>
      <c r="K992" s="682"/>
    </row>
    <row r="993" spans="9:11" x14ac:dyDescent="0.25">
      <c r="I993" s="104"/>
      <c r="J993" s="104"/>
      <c r="K993" s="682"/>
    </row>
    <row r="994" spans="9:11" x14ac:dyDescent="0.25">
      <c r="I994" s="104"/>
      <c r="J994" s="104"/>
      <c r="K994" s="682"/>
    </row>
    <row r="995" spans="9:11" x14ac:dyDescent="0.25">
      <c r="I995" s="104"/>
      <c r="J995" s="104"/>
      <c r="K995" s="682"/>
    </row>
    <row r="996" spans="9:11" x14ac:dyDescent="0.25">
      <c r="I996" s="104"/>
      <c r="J996" s="104"/>
      <c r="K996" s="682"/>
    </row>
    <row r="997" spans="9:11" x14ac:dyDescent="0.25">
      <c r="I997" s="104"/>
      <c r="J997" s="104"/>
      <c r="K997" s="682"/>
    </row>
    <row r="998" spans="9:11" x14ac:dyDescent="0.25">
      <c r="I998" s="104"/>
      <c r="J998" s="104"/>
      <c r="K998" s="682"/>
    </row>
    <row r="999" spans="9:11" x14ac:dyDescent="0.25">
      <c r="I999" s="104"/>
      <c r="J999" s="104"/>
      <c r="K999" s="682"/>
    </row>
    <row r="1000" spans="9:11" x14ac:dyDescent="0.25">
      <c r="I1000" s="104"/>
      <c r="J1000" s="104"/>
      <c r="K1000" s="682"/>
    </row>
    <row r="1001" spans="9:11" x14ac:dyDescent="0.25">
      <c r="I1001" s="104"/>
      <c r="J1001" s="104"/>
      <c r="K1001" s="682"/>
    </row>
    <row r="1002" spans="9:11" x14ac:dyDescent="0.25">
      <c r="I1002" s="104"/>
      <c r="J1002" s="104"/>
      <c r="K1002" s="682"/>
    </row>
    <row r="1003" spans="9:11" x14ac:dyDescent="0.25">
      <c r="I1003" s="104"/>
      <c r="J1003" s="104"/>
      <c r="K1003" s="682"/>
    </row>
    <row r="1004" spans="9:11" x14ac:dyDescent="0.25">
      <c r="I1004" s="104"/>
      <c r="J1004" s="104"/>
      <c r="K1004" s="682"/>
    </row>
    <row r="1005" spans="9:11" x14ac:dyDescent="0.25">
      <c r="I1005" s="104"/>
      <c r="J1005" s="104"/>
      <c r="K1005" s="682"/>
    </row>
    <row r="1006" spans="9:11" x14ac:dyDescent="0.25">
      <c r="I1006" s="104"/>
      <c r="J1006" s="104"/>
      <c r="K1006" s="682"/>
    </row>
    <row r="1007" spans="9:11" x14ac:dyDescent="0.25">
      <c r="I1007" s="104"/>
      <c r="J1007" s="104"/>
      <c r="K1007" s="682"/>
    </row>
    <row r="1008" spans="9:11" x14ac:dyDescent="0.25">
      <c r="I1008" s="104"/>
      <c r="J1008" s="104"/>
      <c r="K1008" s="682"/>
    </row>
    <row r="1009" spans="9:11" x14ac:dyDescent="0.25">
      <c r="I1009" s="104"/>
      <c r="J1009" s="104"/>
      <c r="K1009" s="682"/>
    </row>
    <row r="1010" spans="9:11" x14ac:dyDescent="0.25">
      <c r="I1010" s="104"/>
      <c r="J1010" s="104"/>
      <c r="K1010" s="682"/>
    </row>
    <row r="1011" spans="9:11" x14ac:dyDescent="0.25">
      <c r="I1011" s="104"/>
      <c r="J1011" s="104"/>
      <c r="K1011" s="682"/>
    </row>
    <row r="1012" spans="9:11" x14ac:dyDescent="0.25">
      <c r="I1012" s="104"/>
      <c r="J1012" s="104"/>
      <c r="K1012" s="682"/>
    </row>
    <row r="1013" spans="9:11" x14ac:dyDescent="0.25">
      <c r="I1013" s="104"/>
      <c r="J1013" s="104"/>
      <c r="K1013" s="682"/>
    </row>
    <row r="1014" spans="9:11" x14ac:dyDescent="0.25">
      <c r="I1014" s="104"/>
      <c r="J1014" s="104"/>
      <c r="K1014" s="682"/>
    </row>
    <row r="1015" spans="9:11" x14ac:dyDescent="0.25">
      <c r="I1015" s="104"/>
      <c r="J1015" s="104"/>
      <c r="K1015" s="682"/>
    </row>
    <row r="1016" spans="9:11" x14ac:dyDescent="0.25">
      <c r="I1016" s="104"/>
      <c r="J1016" s="104"/>
      <c r="K1016" s="682"/>
    </row>
    <row r="1017" spans="9:11" x14ac:dyDescent="0.25">
      <c r="I1017" s="104"/>
      <c r="J1017" s="104"/>
      <c r="K1017" s="682"/>
    </row>
    <row r="1018" spans="9:11" x14ac:dyDescent="0.25">
      <c r="I1018" s="104"/>
      <c r="J1018" s="104"/>
      <c r="K1018" s="682"/>
    </row>
    <row r="1019" spans="9:11" x14ac:dyDescent="0.25">
      <c r="I1019" s="104"/>
      <c r="J1019" s="104"/>
      <c r="K1019" s="682"/>
    </row>
    <row r="1020" spans="9:11" x14ac:dyDescent="0.25">
      <c r="I1020" s="104"/>
      <c r="J1020" s="104"/>
      <c r="K1020" s="682"/>
    </row>
    <row r="1021" spans="9:11" x14ac:dyDescent="0.25">
      <c r="I1021" s="104"/>
      <c r="J1021" s="104"/>
      <c r="K1021" s="682"/>
    </row>
    <row r="1022" spans="9:11" x14ac:dyDescent="0.25">
      <c r="I1022" s="104"/>
      <c r="J1022" s="104"/>
      <c r="K1022" s="682"/>
    </row>
    <row r="1023" spans="9:11" x14ac:dyDescent="0.25">
      <c r="I1023" s="104"/>
      <c r="J1023" s="104"/>
      <c r="K1023" s="682"/>
    </row>
    <row r="1024" spans="9:11" x14ac:dyDescent="0.25">
      <c r="I1024" s="104"/>
      <c r="J1024" s="104"/>
      <c r="K1024" s="682"/>
    </row>
    <row r="1025" spans="9:11" x14ac:dyDescent="0.25">
      <c r="I1025" s="104"/>
      <c r="J1025" s="104"/>
      <c r="K1025" s="682"/>
    </row>
    <row r="1026" spans="9:11" x14ac:dyDescent="0.25">
      <c r="I1026" s="104"/>
      <c r="J1026" s="104"/>
      <c r="K1026" s="682"/>
    </row>
    <row r="1027" spans="9:11" x14ac:dyDescent="0.25">
      <c r="I1027" s="104"/>
      <c r="J1027" s="104"/>
      <c r="K1027" s="682"/>
    </row>
    <row r="1028" spans="9:11" x14ac:dyDescent="0.25">
      <c r="I1028" s="104"/>
      <c r="J1028" s="104"/>
      <c r="K1028" s="682"/>
    </row>
    <row r="1029" spans="9:11" x14ac:dyDescent="0.25">
      <c r="I1029" s="104"/>
      <c r="J1029" s="104"/>
      <c r="K1029" s="682"/>
    </row>
    <row r="1030" spans="9:11" x14ac:dyDescent="0.25">
      <c r="I1030" s="104"/>
      <c r="J1030" s="104"/>
      <c r="K1030" s="682"/>
    </row>
    <row r="1031" spans="9:11" x14ac:dyDescent="0.25">
      <c r="I1031" s="104"/>
      <c r="J1031" s="104"/>
      <c r="K1031" s="682"/>
    </row>
    <row r="1032" spans="9:11" x14ac:dyDescent="0.25">
      <c r="I1032" s="104"/>
      <c r="J1032" s="104"/>
      <c r="K1032" s="682"/>
    </row>
    <row r="1033" spans="9:11" x14ac:dyDescent="0.25">
      <c r="I1033" s="104"/>
      <c r="J1033" s="104"/>
      <c r="K1033" s="682"/>
    </row>
    <row r="1034" spans="9:11" x14ac:dyDescent="0.25">
      <c r="I1034" s="104"/>
      <c r="J1034" s="104"/>
      <c r="K1034" s="682"/>
    </row>
    <row r="1035" spans="9:11" x14ac:dyDescent="0.25">
      <c r="I1035" s="104"/>
      <c r="J1035" s="104"/>
      <c r="K1035" s="682"/>
    </row>
    <row r="1036" spans="9:11" x14ac:dyDescent="0.25">
      <c r="I1036" s="104"/>
      <c r="J1036" s="104"/>
      <c r="K1036" s="682"/>
    </row>
    <row r="1037" spans="9:11" x14ac:dyDescent="0.25">
      <c r="I1037" s="104"/>
      <c r="J1037" s="104"/>
      <c r="K1037" s="682"/>
    </row>
    <row r="1038" spans="9:11" x14ac:dyDescent="0.25">
      <c r="I1038" s="104"/>
      <c r="J1038" s="104"/>
      <c r="K1038" s="682"/>
    </row>
    <row r="1039" spans="9:11" x14ac:dyDescent="0.25">
      <c r="I1039" s="104"/>
      <c r="J1039" s="104"/>
      <c r="K1039" s="682"/>
    </row>
    <row r="1040" spans="9:11" x14ac:dyDescent="0.25">
      <c r="I1040" s="104"/>
      <c r="J1040" s="104"/>
      <c r="K1040" s="682"/>
    </row>
    <row r="1041" spans="9:11" x14ac:dyDescent="0.25">
      <c r="I1041" s="104"/>
      <c r="J1041" s="104"/>
      <c r="K1041" s="682"/>
    </row>
    <row r="1042" spans="9:11" x14ac:dyDescent="0.25">
      <c r="I1042" s="104"/>
      <c r="J1042" s="104"/>
      <c r="K1042" s="682"/>
    </row>
    <row r="1043" spans="9:11" x14ac:dyDescent="0.25">
      <c r="I1043" s="104"/>
      <c r="J1043" s="104"/>
      <c r="K1043" s="682"/>
    </row>
    <row r="1044" spans="9:11" x14ac:dyDescent="0.25">
      <c r="I1044" s="104"/>
      <c r="J1044" s="104"/>
      <c r="K1044" s="682"/>
    </row>
    <row r="1045" spans="9:11" x14ac:dyDescent="0.25">
      <c r="I1045" s="104"/>
      <c r="J1045" s="104"/>
      <c r="K1045" s="682"/>
    </row>
    <row r="1046" spans="9:11" x14ac:dyDescent="0.25">
      <c r="I1046" s="104"/>
      <c r="J1046" s="104"/>
      <c r="K1046" s="682"/>
    </row>
    <row r="1047" spans="9:11" x14ac:dyDescent="0.25">
      <c r="I1047" s="104"/>
      <c r="J1047" s="104"/>
      <c r="K1047" s="682"/>
    </row>
    <row r="1048" spans="9:11" x14ac:dyDescent="0.25">
      <c r="I1048" s="104"/>
      <c r="J1048" s="104"/>
      <c r="K1048" s="682"/>
    </row>
    <row r="1049" spans="9:11" x14ac:dyDescent="0.25">
      <c r="I1049" s="104"/>
      <c r="J1049" s="104"/>
      <c r="K1049" s="682"/>
    </row>
    <row r="1050" spans="9:11" x14ac:dyDescent="0.25">
      <c r="I1050" s="104"/>
      <c r="J1050" s="104"/>
      <c r="K1050" s="682"/>
    </row>
    <row r="1051" spans="9:11" x14ac:dyDescent="0.25">
      <c r="I1051" s="104"/>
      <c r="J1051" s="104"/>
      <c r="K1051" s="682"/>
    </row>
    <row r="1052" spans="9:11" x14ac:dyDescent="0.25">
      <c r="I1052" s="104"/>
      <c r="J1052" s="104"/>
      <c r="K1052" s="682"/>
    </row>
    <row r="1053" spans="9:11" x14ac:dyDescent="0.25">
      <c r="I1053" s="104"/>
      <c r="J1053" s="104"/>
      <c r="K1053" s="682"/>
    </row>
    <row r="1054" spans="9:11" x14ac:dyDescent="0.25">
      <c r="I1054" s="104"/>
      <c r="J1054" s="104"/>
      <c r="K1054" s="682"/>
    </row>
    <row r="1055" spans="9:11" x14ac:dyDescent="0.25">
      <c r="I1055" s="104"/>
      <c r="J1055" s="104"/>
      <c r="K1055" s="682"/>
    </row>
    <row r="1056" spans="9:11" x14ac:dyDescent="0.25">
      <c r="I1056" s="104"/>
      <c r="J1056" s="104"/>
      <c r="K1056" s="682"/>
    </row>
    <row r="1057" spans="9:11" x14ac:dyDescent="0.25">
      <c r="I1057" s="104"/>
      <c r="J1057" s="104"/>
      <c r="K1057" s="682"/>
    </row>
    <row r="1058" spans="9:11" x14ac:dyDescent="0.25">
      <c r="I1058" s="104"/>
      <c r="J1058" s="104"/>
      <c r="K1058" s="682"/>
    </row>
    <row r="1059" spans="9:11" x14ac:dyDescent="0.25">
      <c r="I1059" s="104"/>
      <c r="J1059" s="104"/>
      <c r="K1059" s="682"/>
    </row>
    <row r="1060" spans="9:11" x14ac:dyDescent="0.25">
      <c r="I1060" s="104"/>
      <c r="J1060" s="104"/>
      <c r="K1060" s="682"/>
    </row>
    <row r="1061" spans="9:11" x14ac:dyDescent="0.25">
      <c r="I1061" s="104"/>
      <c r="J1061" s="104"/>
      <c r="K1061" s="682"/>
    </row>
    <row r="1062" spans="9:11" x14ac:dyDescent="0.25">
      <c r="I1062" s="104"/>
      <c r="J1062" s="104"/>
      <c r="K1062" s="682"/>
    </row>
    <row r="1063" spans="9:11" x14ac:dyDescent="0.25">
      <c r="I1063" s="104"/>
      <c r="J1063" s="104"/>
      <c r="K1063" s="682"/>
    </row>
    <row r="1064" spans="9:11" x14ac:dyDescent="0.25">
      <c r="I1064" s="104"/>
      <c r="J1064" s="104"/>
      <c r="K1064" s="682"/>
    </row>
    <row r="1065" spans="9:11" x14ac:dyDescent="0.25">
      <c r="I1065" s="104"/>
      <c r="J1065" s="104"/>
      <c r="K1065" s="682"/>
    </row>
    <row r="1066" spans="9:11" x14ac:dyDescent="0.25">
      <c r="I1066" s="104"/>
      <c r="J1066" s="104"/>
      <c r="K1066" s="682"/>
    </row>
    <row r="1067" spans="9:11" x14ac:dyDescent="0.25">
      <c r="I1067" s="104"/>
      <c r="J1067" s="104"/>
      <c r="K1067" s="682"/>
    </row>
    <row r="1068" spans="9:11" x14ac:dyDescent="0.25">
      <c r="I1068" s="104"/>
      <c r="J1068" s="104"/>
      <c r="K1068" s="682"/>
    </row>
    <row r="1069" spans="9:11" x14ac:dyDescent="0.25">
      <c r="I1069" s="104"/>
      <c r="J1069" s="104"/>
      <c r="K1069" s="682"/>
    </row>
    <row r="1070" spans="9:11" x14ac:dyDescent="0.25">
      <c r="I1070" s="104"/>
      <c r="J1070" s="104"/>
      <c r="K1070" s="682"/>
    </row>
    <row r="1071" spans="9:11" x14ac:dyDescent="0.25">
      <c r="I1071" s="104"/>
      <c r="J1071" s="104"/>
      <c r="K1071" s="682"/>
    </row>
    <row r="1072" spans="9:11" x14ac:dyDescent="0.25">
      <c r="I1072" s="104"/>
      <c r="J1072" s="104"/>
      <c r="K1072" s="682"/>
    </row>
    <row r="1073" spans="9:11" x14ac:dyDescent="0.25">
      <c r="I1073" s="104"/>
      <c r="J1073" s="104"/>
      <c r="K1073" s="682"/>
    </row>
    <row r="1074" spans="9:11" x14ac:dyDescent="0.25">
      <c r="I1074" s="104"/>
      <c r="J1074" s="104"/>
      <c r="K1074" s="682"/>
    </row>
    <row r="1075" spans="9:11" x14ac:dyDescent="0.25">
      <c r="I1075" s="104"/>
      <c r="J1075" s="104"/>
      <c r="K1075" s="682"/>
    </row>
    <row r="1076" spans="9:11" x14ac:dyDescent="0.25">
      <c r="I1076" s="104"/>
      <c r="J1076" s="104"/>
      <c r="K1076" s="682"/>
    </row>
    <row r="1077" spans="9:11" x14ac:dyDescent="0.25">
      <c r="I1077" s="104"/>
      <c r="J1077" s="104"/>
      <c r="K1077" s="682"/>
    </row>
    <row r="1078" spans="9:11" x14ac:dyDescent="0.25">
      <c r="I1078" s="104"/>
      <c r="J1078" s="104"/>
      <c r="K1078" s="682"/>
    </row>
    <row r="1079" spans="9:11" x14ac:dyDescent="0.25">
      <c r="I1079" s="104"/>
      <c r="J1079" s="104"/>
      <c r="K1079" s="682"/>
    </row>
    <row r="1080" spans="9:11" x14ac:dyDescent="0.25">
      <c r="I1080" s="104"/>
      <c r="J1080" s="104"/>
      <c r="K1080" s="682"/>
    </row>
    <row r="1081" spans="9:11" x14ac:dyDescent="0.25">
      <c r="I1081" s="104"/>
      <c r="J1081" s="104"/>
      <c r="K1081" s="682"/>
    </row>
    <row r="1082" spans="9:11" x14ac:dyDescent="0.25">
      <c r="I1082" s="104"/>
      <c r="J1082" s="104"/>
      <c r="K1082" s="682"/>
    </row>
    <row r="1083" spans="9:11" x14ac:dyDescent="0.25">
      <c r="I1083" s="104"/>
      <c r="J1083" s="104"/>
      <c r="K1083" s="682"/>
    </row>
    <row r="1084" spans="9:11" x14ac:dyDescent="0.25">
      <c r="I1084" s="104"/>
      <c r="J1084" s="104"/>
      <c r="K1084" s="682"/>
    </row>
    <row r="1085" spans="9:11" x14ac:dyDescent="0.25">
      <c r="I1085" s="104"/>
      <c r="J1085" s="104"/>
      <c r="K1085" s="682"/>
    </row>
    <row r="1086" spans="9:11" x14ac:dyDescent="0.25">
      <c r="I1086" s="104"/>
      <c r="J1086" s="104"/>
      <c r="K1086" s="682"/>
    </row>
    <row r="1087" spans="9:11" x14ac:dyDescent="0.25">
      <c r="I1087" s="104"/>
      <c r="J1087" s="104"/>
      <c r="K1087" s="682"/>
    </row>
    <row r="1088" spans="9:11" x14ac:dyDescent="0.25">
      <c r="I1088" s="104"/>
      <c r="J1088" s="104"/>
      <c r="K1088" s="682"/>
    </row>
    <row r="1089" spans="9:11" x14ac:dyDescent="0.25">
      <c r="I1089" s="104"/>
      <c r="J1089" s="104"/>
      <c r="K1089" s="682"/>
    </row>
    <row r="1090" spans="9:11" x14ac:dyDescent="0.25">
      <c r="I1090" s="104"/>
      <c r="J1090" s="104"/>
      <c r="K1090" s="682"/>
    </row>
    <row r="1091" spans="9:11" x14ac:dyDescent="0.25">
      <c r="I1091" s="104"/>
      <c r="J1091" s="104"/>
      <c r="K1091" s="682"/>
    </row>
    <row r="1092" spans="9:11" x14ac:dyDescent="0.25">
      <c r="I1092" s="104"/>
      <c r="J1092" s="104"/>
      <c r="K1092" s="682"/>
    </row>
    <row r="1093" spans="9:11" x14ac:dyDescent="0.25">
      <c r="I1093" s="104"/>
      <c r="J1093" s="104"/>
      <c r="K1093" s="682"/>
    </row>
    <row r="1094" spans="9:11" x14ac:dyDescent="0.25">
      <c r="I1094" s="104"/>
      <c r="J1094" s="104"/>
      <c r="K1094" s="682"/>
    </row>
    <row r="1095" spans="9:11" x14ac:dyDescent="0.25">
      <c r="I1095" s="104"/>
      <c r="J1095" s="104"/>
      <c r="K1095" s="682"/>
    </row>
    <row r="1096" spans="9:11" x14ac:dyDescent="0.25">
      <c r="I1096" s="104"/>
      <c r="J1096" s="104"/>
      <c r="K1096" s="682"/>
    </row>
    <row r="1097" spans="9:11" x14ac:dyDescent="0.25">
      <c r="I1097" s="104"/>
      <c r="J1097" s="104"/>
      <c r="K1097" s="682"/>
    </row>
    <row r="1098" spans="9:11" x14ac:dyDescent="0.25">
      <c r="I1098" s="104"/>
      <c r="J1098" s="104"/>
      <c r="K1098" s="682"/>
    </row>
    <row r="1099" spans="9:11" x14ac:dyDescent="0.25">
      <c r="I1099" s="104"/>
      <c r="J1099" s="104"/>
      <c r="K1099" s="682"/>
    </row>
    <row r="1100" spans="9:11" x14ac:dyDescent="0.25">
      <c r="I1100" s="104"/>
      <c r="J1100" s="104"/>
      <c r="K1100" s="682"/>
    </row>
    <row r="1101" spans="9:11" x14ac:dyDescent="0.25">
      <c r="I1101" s="104"/>
      <c r="J1101" s="104"/>
      <c r="K1101" s="682"/>
    </row>
    <row r="1102" spans="9:11" x14ac:dyDescent="0.25">
      <c r="I1102" s="104"/>
      <c r="J1102" s="104"/>
      <c r="K1102" s="682"/>
    </row>
    <row r="1103" spans="9:11" x14ac:dyDescent="0.25">
      <c r="I1103" s="104"/>
      <c r="J1103" s="104"/>
      <c r="K1103" s="682"/>
    </row>
    <row r="1104" spans="9:11" x14ac:dyDescent="0.25">
      <c r="I1104" s="104"/>
      <c r="J1104" s="104"/>
      <c r="K1104" s="682"/>
    </row>
    <row r="1105" spans="9:11" x14ac:dyDescent="0.25">
      <c r="I1105" s="104"/>
      <c r="J1105" s="104"/>
      <c r="K1105" s="682"/>
    </row>
    <row r="1106" spans="9:11" x14ac:dyDescent="0.25">
      <c r="I1106" s="104"/>
      <c r="J1106" s="104"/>
      <c r="K1106" s="682"/>
    </row>
    <row r="1107" spans="9:11" x14ac:dyDescent="0.25">
      <c r="I1107" s="104"/>
      <c r="J1107" s="104"/>
      <c r="K1107" s="682"/>
    </row>
    <row r="1108" spans="9:11" x14ac:dyDescent="0.25">
      <c r="I1108" s="104"/>
      <c r="J1108" s="104"/>
      <c r="K1108" s="682"/>
    </row>
    <row r="1109" spans="9:11" x14ac:dyDescent="0.25">
      <c r="I1109" s="104"/>
      <c r="J1109" s="104"/>
      <c r="K1109" s="682"/>
    </row>
    <row r="1110" spans="9:11" x14ac:dyDescent="0.25">
      <c r="I1110" s="104"/>
      <c r="J1110" s="104"/>
      <c r="K1110" s="682"/>
    </row>
    <row r="1111" spans="9:11" x14ac:dyDescent="0.25">
      <c r="I1111" s="104"/>
      <c r="J1111" s="104"/>
      <c r="K1111" s="682"/>
    </row>
    <row r="1112" spans="9:11" x14ac:dyDescent="0.25">
      <c r="I1112" s="104"/>
      <c r="J1112" s="104"/>
      <c r="K1112" s="682"/>
    </row>
    <row r="1113" spans="9:11" x14ac:dyDescent="0.25">
      <c r="I1113" s="104"/>
      <c r="J1113" s="104"/>
      <c r="K1113" s="682"/>
    </row>
    <row r="1114" spans="9:11" x14ac:dyDescent="0.25">
      <c r="I1114" s="104"/>
      <c r="J1114" s="104"/>
      <c r="K1114" s="682"/>
    </row>
    <row r="1115" spans="9:11" x14ac:dyDescent="0.25">
      <c r="I1115" s="104"/>
      <c r="J1115" s="104"/>
      <c r="K1115" s="682"/>
    </row>
    <row r="1116" spans="9:11" x14ac:dyDescent="0.25">
      <c r="I1116" s="104"/>
      <c r="J1116" s="104"/>
      <c r="K1116" s="682"/>
    </row>
    <row r="1117" spans="9:11" x14ac:dyDescent="0.25">
      <c r="I1117" s="104"/>
      <c r="J1117" s="104"/>
      <c r="K1117" s="682"/>
    </row>
    <row r="1118" spans="9:11" x14ac:dyDescent="0.25">
      <c r="I1118" s="104"/>
      <c r="J1118" s="104"/>
      <c r="K1118" s="682"/>
    </row>
    <row r="1119" spans="9:11" x14ac:dyDescent="0.25">
      <c r="I1119" s="104"/>
      <c r="J1119" s="104"/>
      <c r="K1119" s="682"/>
    </row>
    <row r="1120" spans="9:11" x14ac:dyDescent="0.25">
      <c r="I1120" s="104"/>
      <c r="J1120" s="104"/>
      <c r="K1120" s="682"/>
    </row>
    <row r="1121" spans="9:11" x14ac:dyDescent="0.25">
      <c r="I1121" s="104"/>
      <c r="J1121" s="104"/>
      <c r="K1121" s="682"/>
    </row>
    <row r="1122" spans="9:11" x14ac:dyDescent="0.25">
      <c r="I1122" s="104"/>
      <c r="J1122" s="104"/>
      <c r="K1122" s="682"/>
    </row>
    <row r="1123" spans="9:11" x14ac:dyDescent="0.25">
      <c r="I1123" s="104"/>
      <c r="J1123" s="104"/>
      <c r="K1123" s="682"/>
    </row>
    <row r="1124" spans="9:11" x14ac:dyDescent="0.25">
      <c r="I1124" s="104"/>
      <c r="J1124" s="104"/>
      <c r="K1124" s="682"/>
    </row>
    <row r="1125" spans="9:11" x14ac:dyDescent="0.25">
      <c r="I1125" s="104"/>
      <c r="J1125" s="104"/>
      <c r="K1125" s="682"/>
    </row>
    <row r="1126" spans="9:11" x14ac:dyDescent="0.25">
      <c r="I1126" s="104"/>
      <c r="J1126" s="104"/>
      <c r="K1126" s="682"/>
    </row>
    <row r="1127" spans="9:11" x14ac:dyDescent="0.25">
      <c r="I1127" s="104"/>
      <c r="J1127" s="104"/>
      <c r="K1127" s="682"/>
    </row>
    <row r="1128" spans="9:11" x14ac:dyDescent="0.25">
      <c r="I1128" s="104"/>
      <c r="J1128" s="104"/>
      <c r="K1128" s="682"/>
    </row>
    <row r="1129" spans="9:11" x14ac:dyDescent="0.25">
      <c r="I1129" s="104"/>
      <c r="J1129" s="104"/>
      <c r="K1129" s="682"/>
    </row>
    <row r="1130" spans="9:11" x14ac:dyDescent="0.25">
      <c r="I1130" s="104"/>
      <c r="J1130" s="104"/>
      <c r="K1130" s="682"/>
    </row>
    <row r="1131" spans="9:11" x14ac:dyDescent="0.25">
      <c r="I1131" s="104"/>
      <c r="J1131" s="104"/>
      <c r="K1131" s="682"/>
    </row>
    <row r="1132" spans="9:11" x14ac:dyDescent="0.25">
      <c r="I1132" s="104"/>
      <c r="J1132" s="104"/>
      <c r="K1132" s="682"/>
    </row>
    <row r="1133" spans="9:11" x14ac:dyDescent="0.25">
      <c r="I1133" s="104"/>
      <c r="J1133" s="104"/>
      <c r="K1133" s="682"/>
    </row>
    <row r="1134" spans="9:11" x14ac:dyDescent="0.25">
      <c r="I1134" s="104"/>
      <c r="J1134" s="104"/>
      <c r="K1134" s="682"/>
    </row>
    <row r="1135" spans="9:11" x14ac:dyDescent="0.25">
      <c r="I1135" s="104"/>
      <c r="J1135" s="104"/>
      <c r="K1135" s="682"/>
    </row>
    <row r="1136" spans="9:11" x14ac:dyDescent="0.25">
      <c r="I1136" s="104"/>
      <c r="J1136" s="104"/>
      <c r="K1136" s="682"/>
    </row>
    <row r="1137" spans="9:11" x14ac:dyDescent="0.25">
      <c r="I1137" s="104"/>
      <c r="J1137" s="104"/>
      <c r="K1137" s="682"/>
    </row>
    <row r="1138" spans="9:11" x14ac:dyDescent="0.25">
      <c r="I1138" s="104"/>
      <c r="J1138" s="104"/>
      <c r="K1138" s="682"/>
    </row>
    <row r="1139" spans="9:11" x14ac:dyDescent="0.25">
      <c r="I1139" s="104"/>
      <c r="J1139" s="104"/>
      <c r="K1139" s="682"/>
    </row>
    <row r="1140" spans="9:11" x14ac:dyDescent="0.25">
      <c r="I1140" s="104"/>
      <c r="J1140" s="104"/>
      <c r="K1140" s="682"/>
    </row>
    <row r="1141" spans="9:11" x14ac:dyDescent="0.25">
      <c r="I1141" s="104"/>
      <c r="J1141" s="104"/>
      <c r="K1141" s="682"/>
    </row>
    <row r="1142" spans="9:11" x14ac:dyDescent="0.25">
      <c r="I1142" s="104"/>
      <c r="J1142" s="104"/>
      <c r="K1142" s="682"/>
    </row>
    <row r="1143" spans="9:11" x14ac:dyDescent="0.25">
      <c r="I1143" s="104"/>
      <c r="J1143" s="104"/>
      <c r="K1143" s="682"/>
    </row>
    <row r="1144" spans="9:11" x14ac:dyDescent="0.25">
      <c r="I1144" s="104"/>
      <c r="J1144" s="104"/>
      <c r="K1144" s="682"/>
    </row>
    <row r="1145" spans="9:11" x14ac:dyDescent="0.25">
      <c r="I1145" s="104"/>
      <c r="J1145" s="104"/>
      <c r="K1145" s="682"/>
    </row>
    <row r="1146" spans="9:11" x14ac:dyDescent="0.25">
      <c r="I1146" s="104"/>
      <c r="J1146" s="104"/>
      <c r="K1146" s="682"/>
    </row>
    <row r="1147" spans="9:11" x14ac:dyDescent="0.25">
      <c r="I1147" s="104"/>
      <c r="J1147" s="104"/>
      <c r="K1147" s="682"/>
    </row>
    <row r="1148" spans="9:11" x14ac:dyDescent="0.25">
      <c r="I1148" s="104"/>
      <c r="J1148" s="104"/>
      <c r="K1148" s="682"/>
    </row>
    <row r="1149" spans="9:11" x14ac:dyDescent="0.25">
      <c r="I1149" s="104"/>
      <c r="J1149" s="104"/>
      <c r="K1149" s="682"/>
    </row>
    <row r="1150" spans="9:11" x14ac:dyDescent="0.25">
      <c r="I1150" s="104"/>
      <c r="J1150" s="104"/>
      <c r="K1150" s="682"/>
    </row>
    <row r="1151" spans="9:11" x14ac:dyDescent="0.25">
      <c r="I1151" s="104"/>
      <c r="J1151" s="104"/>
      <c r="K1151" s="682"/>
    </row>
    <row r="1152" spans="9:11" x14ac:dyDescent="0.25">
      <c r="I1152" s="104"/>
      <c r="J1152" s="104"/>
      <c r="K1152" s="682"/>
    </row>
    <row r="1153" spans="9:11" x14ac:dyDescent="0.25">
      <c r="I1153" s="104"/>
      <c r="J1153" s="104"/>
      <c r="K1153" s="682"/>
    </row>
    <row r="1154" spans="9:11" x14ac:dyDescent="0.25">
      <c r="I1154" s="104"/>
      <c r="J1154" s="104"/>
      <c r="K1154" s="682"/>
    </row>
    <row r="1155" spans="9:11" x14ac:dyDescent="0.25">
      <c r="I1155" s="104"/>
      <c r="J1155" s="104"/>
      <c r="K1155" s="682"/>
    </row>
    <row r="1156" spans="9:11" x14ac:dyDescent="0.25">
      <c r="I1156" s="104"/>
      <c r="J1156" s="104"/>
      <c r="K1156" s="682"/>
    </row>
    <row r="1157" spans="9:11" x14ac:dyDescent="0.25">
      <c r="I1157" s="104"/>
      <c r="J1157" s="104"/>
      <c r="K1157" s="682"/>
    </row>
    <row r="1158" spans="9:11" x14ac:dyDescent="0.25">
      <c r="I1158" s="104"/>
      <c r="J1158" s="104"/>
      <c r="K1158" s="682"/>
    </row>
    <row r="1159" spans="9:11" x14ac:dyDescent="0.25">
      <c r="I1159" s="104"/>
      <c r="J1159" s="104"/>
      <c r="K1159" s="682"/>
    </row>
    <row r="1160" spans="9:11" x14ac:dyDescent="0.25">
      <c r="I1160" s="104"/>
      <c r="J1160" s="104"/>
      <c r="K1160" s="682"/>
    </row>
    <row r="1161" spans="9:11" x14ac:dyDescent="0.25">
      <c r="I1161" s="104"/>
      <c r="J1161" s="104"/>
      <c r="K1161" s="682"/>
    </row>
    <row r="1162" spans="9:11" x14ac:dyDescent="0.25">
      <c r="I1162" s="104"/>
      <c r="J1162" s="104"/>
      <c r="K1162" s="682"/>
    </row>
    <row r="1163" spans="9:11" x14ac:dyDescent="0.25">
      <c r="I1163" s="104"/>
      <c r="J1163" s="104"/>
      <c r="K1163" s="682"/>
    </row>
    <row r="1164" spans="9:11" x14ac:dyDescent="0.25">
      <c r="I1164" s="104"/>
      <c r="J1164" s="104"/>
      <c r="K1164" s="682"/>
    </row>
    <row r="1165" spans="9:11" x14ac:dyDescent="0.25">
      <c r="I1165" s="104"/>
      <c r="J1165" s="104"/>
      <c r="K1165" s="682"/>
    </row>
    <row r="1166" spans="9:11" x14ac:dyDescent="0.25">
      <c r="I1166" s="104"/>
      <c r="J1166" s="104"/>
      <c r="K1166" s="682"/>
    </row>
    <row r="1167" spans="9:11" x14ac:dyDescent="0.25">
      <c r="I1167" s="104"/>
      <c r="J1167" s="104"/>
      <c r="K1167" s="682"/>
    </row>
    <row r="1168" spans="9:11" x14ac:dyDescent="0.25">
      <c r="I1168" s="104"/>
      <c r="J1168" s="104"/>
      <c r="K1168" s="682"/>
    </row>
    <row r="1169" spans="9:11" x14ac:dyDescent="0.25">
      <c r="I1169" s="104"/>
      <c r="J1169" s="104"/>
      <c r="K1169" s="682"/>
    </row>
    <row r="1170" spans="9:11" x14ac:dyDescent="0.25">
      <c r="I1170" s="104"/>
      <c r="J1170" s="104"/>
      <c r="K1170" s="682"/>
    </row>
    <row r="1171" spans="9:11" x14ac:dyDescent="0.25">
      <c r="I1171" s="104"/>
      <c r="J1171" s="104"/>
      <c r="K1171" s="682"/>
    </row>
    <row r="1172" spans="9:11" x14ac:dyDescent="0.25">
      <c r="I1172" s="104"/>
      <c r="J1172" s="104"/>
      <c r="K1172" s="682"/>
    </row>
    <row r="1173" spans="9:11" x14ac:dyDescent="0.25">
      <c r="I1173" s="104"/>
      <c r="J1173" s="104"/>
      <c r="K1173" s="682"/>
    </row>
    <row r="1174" spans="9:11" x14ac:dyDescent="0.25">
      <c r="I1174" s="104"/>
      <c r="J1174" s="104"/>
      <c r="K1174" s="682"/>
    </row>
    <row r="1175" spans="9:11" x14ac:dyDescent="0.25">
      <c r="I1175" s="104"/>
      <c r="J1175" s="104"/>
      <c r="K1175" s="682"/>
    </row>
    <row r="1176" spans="9:11" x14ac:dyDescent="0.25">
      <c r="I1176" s="104"/>
      <c r="J1176" s="104"/>
      <c r="K1176" s="682"/>
    </row>
    <row r="1177" spans="9:11" x14ac:dyDescent="0.25">
      <c r="I1177" s="104"/>
      <c r="J1177" s="104"/>
      <c r="K1177" s="682"/>
    </row>
    <row r="1178" spans="9:11" x14ac:dyDescent="0.25">
      <c r="I1178" s="104"/>
      <c r="J1178" s="104"/>
      <c r="K1178" s="682"/>
    </row>
    <row r="1179" spans="9:11" x14ac:dyDescent="0.25">
      <c r="I1179" s="104"/>
      <c r="J1179" s="104"/>
      <c r="K1179" s="682"/>
    </row>
    <row r="1180" spans="9:11" x14ac:dyDescent="0.25">
      <c r="I1180" s="104"/>
      <c r="J1180" s="104"/>
      <c r="K1180" s="682"/>
    </row>
    <row r="1181" spans="9:11" x14ac:dyDescent="0.25">
      <c r="I1181" s="104"/>
      <c r="J1181" s="104"/>
      <c r="K1181" s="682"/>
    </row>
    <row r="1182" spans="9:11" x14ac:dyDescent="0.25">
      <c r="I1182" s="104"/>
      <c r="J1182" s="104"/>
      <c r="K1182" s="682"/>
    </row>
    <row r="1183" spans="9:11" x14ac:dyDescent="0.25">
      <c r="I1183" s="104"/>
      <c r="J1183" s="104"/>
      <c r="K1183" s="682"/>
    </row>
    <row r="1184" spans="9:11" x14ac:dyDescent="0.25">
      <c r="I1184" s="104"/>
      <c r="J1184" s="104"/>
      <c r="K1184" s="682"/>
    </row>
    <row r="1185" spans="9:11" x14ac:dyDescent="0.25">
      <c r="I1185" s="104"/>
      <c r="J1185" s="104"/>
      <c r="K1185" s="682"/>
    </row>
    <row r="1186" spans="9:11" x14ac:dyDescent="0.25">
      <c r="I1186" s="104"/>
      <c r="J1186" s="104"/>
      <c r="K1186" s="682"/>
    </row>
    <row r="1187" spans="9:11" x14ac:dyDescent="0.25">
      <c r="I1187" s="104"/>
      <c r="J1187" s="104"/>
      <c r="K1187" s="682"/>
    </row>
    <row r="1188" spans="9:11" x14ac:dyDescent="0.25">
      <c r="I1188" s="104"/>
      <c r="J1188" s="104"/>
      <c r="K1188" s="682"/>
    </row>
    <row r="1189" spans="9:11" x14ac:dyDescent="0.25">
      <c r="I1189" s="104"/>
      <c r="J1189" s="104"/>
      <c r="K1189" s="682"/>
    </row>
    <row r="1190" spans="9:11" x14ac:dyDescent="0.25">
      <c r="I1190" s="104"/>
      <c r="J1190" s="104"/>
      <c r="K1190" s="682"/>
    </row>
    <row r="1191" spans="9:11" x14ac:dyDescent="0.25">
      <c r="I1191" s="104"/>
      <c r="J1191" s="104"/>
      <c r="K1191" s="682"/>
    </row>
    <row r="1192" spans="9:11" x14ac:dyDescent="0.25">
      <c r="I1192" s="104"/>
      <c r="J1192" s="104"/>
      <c r="K1192" s="682"/>
    </row>
    <row r="1193" spans="9:11" x14ac:dyDescent="0.25">
      <c r="I1193" s="104"/>
      <c r="J1193" s="104"/>
      <c r="K1193" s="682"/>
    </row>
    <row r="1194" spans="9:11" x14ac:dyDescent="0.25">
      <c r="I1194" s="104"/>
      <c r="J1194" s="104"/>
      <c r="K1194" s="682"/>
    </row>
    <row r="1195" spans="9:11" x14ac:dyDescent="0.25">
      <c r="I1195" s="104"/>
      <c r="J1195" s="104"/>
      <c r="K1195" s="682"/>
    </row>
    <row r="1196" spans="9:11" x14ac:dyDescent="0.25">
      <c r="I1196" s="104"/>
      <c r="J1196" s="104"/>
      <c r="K1196" s="682"/>
    </row>
    <row r="1197" spans="9:11" x14ac:dyDescent="0.25">
      <c r="I1197" s="104"/>
      <c r="J1197" s="104"/>
      <c r="K1197" s="682"/>
    </row>
    <row r="1198" spans="9:11" x14ac:dyDescent="0.25">
      <c r="I1198" s="104"/>
      <c r="J1198" s="104"/>
      <c r="K1198" s="682"/>
    </row>
    <row r="1199" spans="9:11" x14ac:dyDescent="0.25">
      <c r="I1199" s="104"/>
      <c r="J1199" s="104"/>
      <c r="K1199" s="682"/>
    </row>
    <row r="1200" spans="9:11" x14ac:dyDescent="0.25">
      <c r="I1200" s="104"/>
      <c r="J1200" s="104"/>
      <c r="K1200" s="682"/>
    </row>
    <row r="1201" spans="9:11" x14ac:dyDescent="0.25">
      <c r="I1201" s="104"/>
      <c r="J1201" s="104"/>
      <c r="K1201" s="682"/>
    </row>
    <row r="1202" spans="9:11" x14ac:dyDescent="0.25">
      <c r="I1202" s="104"/>
      <c r="J1202" s="104"/>
      <c r="K1202" s="682"/>
    </row>
    <row r="1203" spans="9:11" x14ac:dyDescent="0.25">
      <c r="I1203" s="104"/>
      <c r="J1203" s="104"/>
      <c r="K1203" s="682"/>
    </row>
    <row r="1204" spans="9:11" x14ac:dyDescent="0.25">
      <c r="I1204" s="104"/>
      <c r="J1204" s="104"/>
      <c r="K1204" s="682"/>
    </row>
    <row r="1205" spans="9:11" x14ac:dyDescent="0.25">
      <c r="I1205" s="104"/>
      <c r="J1205" s="104"/>
      <c r="K1205" s="682"/>
    </row>
    <row r="1206" spans="9:11" x14ac:dyDescent="0.25">
      <c r="I1206" s="104"/>
      <c r="J1206" s="104"/>
      <c r="K1206" s="682"/>
    </row>
    <row r="1207" spans="9:11" x14ac:dyDescent="0.25">
      <c r="I1207" s="104"/>
      <c r="J1207" s="104"/>
      <c r="K1207" s="682"/>
    </row>
    <row r="1208" spans="9:11" x14ac:dyDescent="0.25">
      <c r="I1208" s="104"/>
      <c r="J1208" s="104"/>
      <c r="K1208" s="682"/>
    </row>
    <row r="1209" spans="9:11" x14ac:dyDescent="0.25">
      <c r="I1209" s="104"/>
      <c r="J1209" s="104"/>
      <c r="K1209" s="682"/>
    </row>
    <row r="1210" spans="9:11" x14ac:dyDescent="0.25">
      <c r="I1210" s="104"/>
      <c r="J1210" s="104"/>
      <c r="K1210" s="682"/>
    </row>
    <row r="1211" spans="9:11" x14ac:dyDescent="0.25">
      <c r="I1211" s="104"/>
      <c r="J1211" s="104"/>
      <c r="K1211" s="682"/>
    </row>
    <row r="1212" spans="9:11" x14ac:dyDescent="0.25">
      <c r="I1212" s="104"/>
      <c r="J1212" s="104"/>
      <c r="K1212" s="682"/>
    </row>
    <row r="1213" spans="9:11" x14ac:dyDescent="0.25">
      <c r="I1213" s="104"/>
      <c r="J1213" s="104"/>
      <c r="K1213" s="682"/>
    </row>
    <row r="1214" spans="9:11" x14ac:dyDescent="0.25">
      <c r="I1214" s="104"/>
      <c r="J1214" s="104"/>
      <c r="K1214" s="682"/>
    </row>
    <row r="1215" spans="9:11" x14ac:dyDescent="0.25">
      <c r="I1215" s="104"/>
      <c r="J1215" s="104"/>
      <c r="K1215" s="682"/>
    </row>
    <row r="1216" spans="9:11" x14ac:dyDescent="0.25">
      <c r="I1216" s="104"/>
      <c r="J1216" s="104"/>
      <c r="K1216" s="682"/>
    </row>
    <row r="1217" spans="9:11" x14ac:dyDescent="0.25">
      <c r="I1217" s="104"/>
      <c r="J1217" s="104"/>
      <c r="K1217" s="682"/>
    </row>
    <row r="1218" spans="9:11" x14ac:dyDescent="0.25">
      <c r="I1218" s="104"/>
      <c r="J1218" s="104"/>
      <c r="K1218" s="682"/>
    </row>
    <row r="1219" spans="9:11" x14ac:dyDescent="0.25">
      <c r="I1219" s="104"/>
      <c r="J1219" s="104"/>
      <c r="K1219" s="682"/>
    </row>
    <row r="1220" spans="9:11" x14ac:dyDescent="0.25">
      <c r="I1220" s="104"/>
      <c r="J1220" s="104"/>
      <c r="K1220" s="682"/>
    </row>
    <row r="1221" spans="9:11" x14ac:dyDescent="0.25">
      <c r="I1221" s="104"/>
      <c r="J1221" s="104"/>
      <c r="K1221" s="682"/>
    </row>
    <row r="1222" spans="9:11" x14ac:dyDescent="0.25">
      <c r="I1222" s="104"/>
      <c r="J1222" s="104"/>
      <c r="K1222" s="682"/>
    </row>
    <row r="1223" spans="9:11" x14ac:dyDescent="0.25">
      <c r="I1223" s="104"/>
      <c r="J1223" s="104"/>
      <c r="K1223" s="682"/>
    </row>
    <row r="1224" spans="9:11" x14ac:dyDescent="0.25">
      <c r="I1224" s="104"/>
      <c r="J1224" s="104"/>
      <c r="K1224" s="682"/>
    </row>
    <row r="1225" spans="9:11" x14ac:dyDescent="0.25">
      <c r="I1225" s="104"/>
      <c r="J1225" s="104"/>
      <c r="K1225" s="682"/>
    </row>
    <row r="1226" spans="9:11" x14ac:dyDescent="0.25">
      <c r="I1226" s="104"/>
      <c r="J1226" s="104"/>
      <c r="K1226" s="682"/>
    </row>
    <row r="1227" spans="9:11" x14ac:dyDescent="0.25">
      <c r="I1227" s="104"/>
      <c r="J1227" s="104"/>
      <c r="K1227" s="682"/>
    </row>
    <row r="1228" spans="9:11" x14ac:dyDescent="0.25">
      <c r="I1228" s="104"/>
      <c r="J1228" s="104"/>
      <c r="K1228" s="682"/>
    </row>
    <row r="1229" spans="9:11" x14ac:dyDescent="0.25">
      <c r="I1229" s="104"/>
      <c r="J1229" s="104"/>
      <c r="K1229" s="682"/>
    </row>
    <row r="1230" spans="9:11" x14ac:dyDescent="0.25">
      <c r="I1230" s="104"/>
      <c r="J1230" s="104"/>
      <c r="K1230" s="682"/>
    </row>
    <row r="1231" spans="9:11" x14ac:dyDescent="0.25">
      <c r="I1231" s="104"/>
      <c r="J1231" s="104"/>
      <c r="K1231" s="682"/>
    </row>
    <row r="1232" spans="9:11" x14ac:dyDescent="0.25">
      <c r="I1232" s="104"/>
      <c r="J1232" s="104"/>
      <c r="K1232" s="682"/>
    </row>
    <row r="1233" spans="9:11" x14ac:dyDescent="0.25">
      <c r="I1233" s="104"/>
      <c r="J1233" s="104"/>
      <c r="K1233" s="682"/>
    </row>
    <row r="1234" spans="9:11" x14ac:dyDescent="0.25">
      <c r="I1234" s="104"/>
      <c r="J1234" s="104"/>
      <c r="K1234" s="682"/>
    </row>
    <row r="1235" spans="9:11" x14ac:dyDescent="0.25">
      <c r="I1235" s="104"/>
      <c r="J1235" s="104"/>
      <c r="K1235" s="682"/>
    </row>
    <row r="1236" spans="9:11" x14ac:dyDescent="0.25">
      <c r="I1236" s="104"/>
      <c r="J1236" s="104"/>
      <c r="K1236" s="682"/>
    </row>
    <row r="1237" spans="9:11" x14ac:dyDescent="0.25">
      <c r="I1237" s="104"/>
      <c r="J1237" s="104"/>
      <c r="K1237" s="682"/>
    </row>
    <row r="1238" spans="9:11" x14ac:dyDescent="0.25">
      <c r="I1238" s="104"/>
      <c r="J1238" s="104"/>
      <c r="K1238" s="682"/>
    </row>
    <row r="1239" spans="9:11" x14ac:dyDescent="0.25">
      <c r="I1239" s="104"/>
      <c r="J1239" s="104"/>
      <c r="K1239" s="682"/>
    </row>
    <row r="1240" spans="9:11" x14ac:dyDescent="0.25">
      <c r="I1240" s="104"/>
      <c r="J1240" s="104"/>
      <c r="K1240" s="682"/>
    </row>
    <row r="1241" spans="9:11" x14ac:dyDescent="0.25">
      <c r="I1241" s="104"/>
      <c r="J1241" s="104"/>
      <c r="K1241" s="682"/>
    </row>
    <row r="1242" spans="9:11" x14ac:dyDescent="0.25">
      <c r="I1242" s="104"/>
      <c r="J1242" s="104"/>
      <c r="K1242" s="682"/>
    </row>
    <row r="1243" spans="9:11" x14ac:dyDescent="0.25">
      <c r="I1243" s="104"/>
      <c r="J1243" s="104"/>
      <c r="K1243" s="682"/>
    </row>
    <row r="1244" spans="9:11" x14ac:dyDescent="0.25">
      <c r="I1244" s="104"/>
      <c r="J1244" s="104"/>
      <c r="K1244" s="682"/>
    </row>
    <row r="1245" spans="9:11" x14ac:dyDescent="0.25">
      <c r="I1245" s="104"/>
      <c r="J1245" s="104"/>
      <c r="K1245" s="682"/>
    </row>
    <row r="1246" spans="9:11" x14ac:dyDescent="0.25">
      <c r="I1246" s="104"/>
      <c r="J1246" s="104"/>
      <c r="K1246" s="682"/>
    </row>
    <row r="1247" spans="9:11" x14ac:dyDescent="0.25">
      <c r="I1247" s="104"/>
      <c r="J1247" s="104"/>
      <c r="K1247" s="682"/>
    </row>
    <row r="1248" spans="9:11" x14ac:dyDescent="0.25">
      <c r="I1248" s="104"/>
      <c r="J1248" s="104"/>
      <c r="K1248" s="682"/>
    </row>
    <row r="1249" spans="9:11" x14ac:dyDescent="0.25">
      <c r="I1249" s="104"/>
      <c r="J1249" s="104"/>
      <c r="K1249" s="682"/>
    </row>
    <row r="1250" spans="9:11" x14ac:dyDescent="0.25">
      <c r="I1250" s="104"/>
      <c r="J1250" s="104"/>
      <c r="K1250" s="682"/>
    </row>
    <row r="1251" spans="9:11" x14ac:dyDescent="0.25">
      <c r="I1251" s="104"/>
      <c r="J1251" s="104"/>
      <c r="K1251" s="682"/>
    </row>
    <row r="1252" spans="9:11" x14ac:dyDescent="0.25">
      <c r="I1252" s="104"/>
      <c r="J1252" s="104"/>
      <c r="K1252" s="682"/>
    </row>
    <row r="1253" spans="9:11" x14ac:dyDescent="0.25">
      <c r="I1253" s="104"/>
      <c r="J1253" s="104"/>
      <c r="K1253" s="682"/>
    </row>
    <row r="1254" spans="9:11" x14ac:dyDescent="0.25">
      <c r="I1254" s="104"/>
      <c r="J1254" s="104"/>
      <c r="K1254" s="682"/>
    </row>
    <row r="1255" spans="9:11" x14ac:dyDescent="0.25">
      <c r="I1255" s="104"/>
      <c r="J1255" s="104"/>
      <c r="K1255" s="682"/>
    </row>
    <row r="1256" spans="9:11" x14ac:dyDescent="0.25">
      <c r="I1256" s="104"/>
      <c r="J1256" s="104"/>
      <c r="K1256" s="682"/>
    </row>
    <row r="1257" spans="9:11" x14ac:dyDescent="0.25">
      <c r="I1257" s="104"/>
      <c r="J1257" s="104"/>
      <c r="K1257" s="682"/>
    </row>
    <row r="1258" spans="9:11" x14ac:dyDescent="0.25">
      <c r="I1258" s="104"/>
      <c r="J1258" s="104"/>
      <c r="K1258" s="682"/>
    </row>
    <row r="1259" spans="9:11" x14ac:dyDescent="0.25">
      <c r="I1259" s="104"/>
      <c r="J1259" s="104"/>
      <c r="K1259" s="682"/>
    </row>
    <row r="1260" spans="9:11" x14ac:dyDescent="0.25">
      <c r="I1260" s="104"/>
      <c r="J1260" s="104"/>
      <c r="K1260" s="682"/>
    </row>
    <row r="1261" spans="9:11" x14ac:dyDescent="0.25">
      <c r="I1261" s="104"/>
      <c r="J1261" s="104"/>
      <c r="K1261" s="682"/>
    </row>
    <row r="1262" spans="9:11" x14ac:dyDescent="0.25">
      <c r="I1262" s="104"/>
      <c r="J1262" s="104"/>
      <c r="K1262" s="682"/>
    </row>
    <row r="1263" spans="9:11" x14ac:dyDescent="0.25">
      <c r="I1263" s="104"/>
      <c r="J1263" s="104"/>
      <c r="K1263" s="682"/>
    </row>
    <row r="1264" spans="9:11" x14ac:dyDescent="0.25">
      <c r="I1264" s="104"/>
      <c r="J1264" s="104"/>
      <c r="K1264" s="682"/>
    </row>
    <row r="1265" spans="9:11" x14ac:dyDescent="0.25">
      <c r="I1265" s="104"/>
      <c r="J1265" s="104"/>
      <c r="K1265" s="682"/>
    </row>
    <row r="1266" spans="9:11" x14ac:dyDescent="0.25">
      <c r="I1266" s="104"/>
      <c r="J1266" s="104"/>
      <c r="K1266" s="682"/>
    </row>
    <row r="1267" spans="9:11" x14ac:dyDescent="0.25">
      <c r="I1267" s="104"/>
      <c r="J1267" s="104"/>
      <c r="K1267" s="682"/>
    </row>
    <row r="1268" spans="9:11" x14ac:dyDescent="0.25">
      <c r="I1268" s="104"/>
      <c r="J1268" s="104"/>
      <c r="K1268" s="682"/>
    </row>
    <row r="1269" spans="9:11" x14ac:dyDescent="0.25">
      <c r="I1269" s="104"/>
      <c r="J1269" s="104"/>
      <c r="K1269" s="682"/>
    </row>
    <row r="1270" spans="9:11" x14ac:dyDescent="0.25">
      <c r="I1270" s="104"/>
      <c r="J1270" s="104"/>
      <c r="K1270" s="682"/>
    </row>
    <row r="1271" spans="9:11" x14ac:dyDescent="0.25">
      <c r="I1271" s="104"/>
      <c r="J1271" s="104"/>
      <c r="K1271" s="682"/>
    </row>
    <row r="1272" spans="9:11" x14ac:dyDescent="0.25">
      <c r="I1272" s="104"/>
      <c r="J1272" s="104"/>
      <c r="K1272" s="682"/>
    </row>
    <row r="1273" spans="9:11" x14ac:dyDescent="0.25">
      <c r="I1273" s="104"/>
      <c r="J1273" s="104"/>
      <c r="K1273" s="682"/>
    </row>
    <row r="1274" spans="9:11" x14ac:dyDescent="0.25">
      <c r="I1274" s="104"/>
      <c r="J1274" s="104"/>
      <c r="K1274" s="682"/>
    </row>
    <row r="1275" spans="9:11" x14ac:dyDescent="0.25">
      <c r="I1275" s="104"/>
      <c r="J1275" s="104"/>
      <c r="K1275" s="682"/>
    </row>
    <row r="1276" spans="9:11" x14ac:dyDescent="0.25">
      <c r="I1276" s="104"/>
      <c r="J1276" s="104"/>
      <c r="K1276" s="682"/>
    </row>
    <row r="1277" spans="9:11" x14ac:dyDescent="0.25">
      <c r="I1277" s="104"/>
      <c r="J1277" s="104"/>
      <c r="K1277" s="682"/>
    </row>
    <row r="1278" spans="9:11" x14ac:dyDescent="0.25">
      <c r="I1278" s="104"/>
      <c r="J1278" s="104"/>
      <c r="K1278" s="682"/>
    </row>
    <row r="1279" spans="9:11" x14ac:dyDescent="0.25">
      <c r="I1279" s="104"/>
      <c r="J1279" s="104"/>
      <c r="K1279" s="682"/>
    </row>
    <row r="1280" spans="9:11" x14ac:dyDescent="0.25">
      <c r="I1280" s="104"/>
      <c r="J1280" s="104"/>
      <c r="K1280" s="682"/>
    </row>
    <row r="1281" spans="9:11" x14ac:dyDescent="0.25">
      <c r="I1281" s="104"/>
      <c r="J1281" s="104"/>
      <c r="K1281" s="682"/>
    </row>
    <row r="1282" spans="9:11" x14ac:dyDescent="0.25">
      <c r="I1282" s="104"/>
      <c r="J1282" s="104"/>
      <c r="K1282" s="682"/>
    </row>
    <row r="1283" spans="9:11" x14ac:dyDescent="0.25">
      <c r="I1283" s="104"/>
      <c r="J1283" s="104"/>
      <c r="K1283" s="682"/>
    </row>
    <row r="1284" spans="9:11" x14ac:dyDescent="0.25">
      <c r="I1284" s="104"/>
      <c r="J1284" s="104"/>
      <c r="K1284" s="682"/>
    </row>
    <row r="1285" spans="9:11" x14ac:dyDescent="0.25">
      <c r="I1285" s="104"/>
      <c r="J1285" s="104"/>
      <c r="K1285" s="682"/>
    </row>
    <row r="1286" spans="9:11" x14ac:dyDescent="0.25">
      <c r="I1286" s="104"/>
      <c r="J1286" s="104"/>
      <c r="K1286" s="682"/>
    </row>
    <row r="1287" spans="9:11" x14ac:dyDescent="0.25">
      <c r="I1287" s="104"/>
      <c r="J1287" s="104"/>
      <c r="K1287" s="682"/>
    </row>
    <row r="1288" spans="9:11" x14ac:dyDescent="0.25">
      <c r="I1288" s="104"/>
      <c r="J1288" s="104"/>
      <c r="K1288" s="682"/>
    </row>
    <row r="1289" spans="9:11" x14ac:dyDescent="0.25">
      <c r="I1289" s="104"/>
      <c r="J1289" s="104"/>
      <c r="K1289" s="682"/>
    </row>
    <row r="1290" spans="9:11" x14ac:dyDescent="0.25">
      <c r="I1290" s="104"/>
      <c r="J1290" s="104"/>
      <c r="K1290" s="682"/>
    </row>
    <row r="1291" spans="9:11" x14ac:dyDescent="0.25">
      <c r="I1291" s="104"/>
      <c r="J1291" s="104"/>
      <c r="K1291" s="682"/>
    </row>
    <row r="1292" spans="9:11" x14ac:dyDescent="0.25">
      <c r="I1292" s="104"/>
      <c r="J1292" s="104"/>
      <c r="K1292" s="682"/>
    </row>
    <row r="1293" spans="9:11" x14ac:dyDescent="0.25">
      <c r="I1293" s="104"/>
      <c r="J1293" s="104"/>
      <c r="K1293" s="682"/>
    </row>
    <row r="1294" spans="9:11" x14ac:dyDescent="0.25">
      <c r="I1294" s="104"/>
      <c r="J1294" s="104"/>
      <c r="K1294" s="682"/>
    </row>
    <row r="1295" spans="9:11" x14ac:dyDescent="0.25">
      <c r="I1295" s="104"/>
      <c r="J1295" s="104"/>
      <c r="K1295" s="682"/>
    </row>
    <row r="1296" spans="9:11" x14ac:dyDescent="0.25">
      <c r="I1296" s="104"/>
      <c r="J1296" s="104"/>
      <c r="K1296" s="682"/>
    </row>
    <row r="1297" spans="9:11" x14ac:dyDescent="0.25">
      <c r="I1297" s="104"/>
      <c r="J1297" s="104"/>
      <c r="K1297" s="682"/>
    </row>
    <row r="1298" spans="9:11" x14ac:dyDescent="0.25">
      <c r="I1298" s="104"/>
      <c r="J1298" s="104"/>
      <c r="K1298" s="682"/>
    </row>
    <row r="1299" spans="9:11" x14ac:dyDescent="0.25">
      <c r="I1299" s="104"/>
      <c r="J1299" s="104"/>
      <c r="K1299" s="682"/>
    </row>
    <row r="1300" spans="9:11" x14ac:dyDescent="0.25">
      <c r="I1300" s="104"/>
      <c r="J1300" s="104"/>
      <c r="K1300" s="682"/>
    </row>
    <row r="1301" spans="9:11" x14ac:dyDescent="0.25">
      <c r="I1301" s="104"/>
      <c r="J1301" s="104"/>
      <c r="K1301" s="682"/>
    </row>
    <row r="1302" spans="9:11" x14ac:dyDescent="0.25">
      <c r="I1302" s="104"/>
      <c r="J1302" s="104"/>
      <c r="K1302" s="682"/>
    </row>
    <row r="1303" spans="9:11" x14ac:dyDescent="0.25">
      <c r="I1303" s="104"/>
      <c r="J1303" s="104"/>
      <c r="K1303" s="682"/>
    </row>
    <row r="1304" spans="9:11" x14ac:dyDescent="0.25">
      <c r="I1304" s="104"/>
      <c r="J1304" s="104"/>
      <c r="K1304" s="682"/>
    </row>
    <row r="1305" spans="9:11" x14ac:dyDescent="0.25">
      <c r="I1305" s="104"/>
      <c r="J1305" s="104"/>
      <c r="K1305" s="682"/>
    </row>
    <row r="1306" spans="9:11" x14ac:dyDescent="0.25">
      <c r="I1306" s="104"/>
      <c r="J1306" s="104"/>
      <c r="K1306" s="682"/>
    </row>
    <row r="1307" spans="9:11" x14ac:dyDescent="0.25">
      <c r="I1307" s="104"/>
      <c r="J1307" s="104"/>
      <c r="K1307" s="682"/>
    </row>
    <row r="1308" spans="9:11" x14ac:dyDescent="0.25">
      <c r="I1308" s="104"/>
      <c r="J1308" s="104"/>
      <c r="K1308" s="682"/>
    </row>
    <row r="1309" spans="9:11" x14ac:dyDescent="0.25">
      <c r="I1309" s="104"/>
      <c r="J1309" s="104"/>
      <c r="K1309" s="682"/>
    </row>
    <row r="1310" spans="9:11" x14ac:dyDescent="0.25">
      <c r="I1310" s="104"/>
      <c r="J1310" s="104"/>
      <c r="K1310" s="682"/>
    </row>
    <row r="1311" spans="9:11" x14ac:dyDescent="0.25">
      <c r="I1311" s="104"/>
      <c r="J1311" s="104"/>
      <c r="K1311" s="682"/>
    </row>
    <row r="1312" spans="9:11" x14ac:dyDescent="0.25">
      <c r="I1312" s="104"/>
      <c r="J1312" s="104"/>
      <c r="K1312" s="682"/>
    </row>
    <row r="1313" spans="9:11" x14ac:dyDescent="0.25">
      <c r="I1313" s="104"/>
      <c r="J1313" s="104"/>
      <c r="K1313" s="682"/>
    </row>
    <row r="1314" spans="9:11" x14ac:dyDescent="0.25">
      <c r="I1314" s="104"/>
      <c r="J1314" s="104"/>
      <c r="K1314" s="682"/>
    </row>
    <row r="1315" spans="9:11" x14ac:dyDescent="0.25">
      <c r="I1315" s="104"/>
      <c r="J1315" s="104"/>
      <c r="K1315" s="682"/>
    </row>
    <row r="1316" spans="9:11" x14ac:dyDescent="0.25">
      <c r="I1316" s="104"/>
      <c r="J1316" s="104"/>
      <c r="K1316" s="682"/>
    </row>
    <row r="1317" spans="9:11" x14ac:dyDescent="0.25">
      <c r="I1317" s="104"/>
      <c r="J1317" s="104"/>
      <c r="K1317" s="682"/>
    </row>
    <row r="1318" spans="9:11" x14ac:dyDescent="0.25">
      <c r="I1318" s="104"/>
      <c r="J1318" s="104"/>
      <c r="K1318" s="682"/>
    </row>
    <row r="1319" spans="9:11" x14ac:dyDescent="0.25">
      <c r="I1319" s="104"/>
      <c r="J1319" s="104"/>
      <c r="K1319" s="682"/>
    </row>
    <row r="1320" spans="9:11" x14ac:dyDescent="0.25">
      <c r="I1320" s="104"/>
      <c r="J1320" s="104"/>
      <c r="K1320" s="682"/>
    </row>
    <row r="1321" spans="9:11" x14ac:dyDescent="0.25">
      <c r="I1321" s="104"/>
      <c r="J1321" s="104"/>
      <c r="K1321" s="682"/>
    </row>
    <row r="1322" spans="9:11" x14ac:dyDescent="0.25">
      <c r="I1322" s="104"/>
      <c r="J1322" s="104"/>
      <c r="K1322" s="682"/>
    </row>
    <row r="1323" spans="9:11" x14ac:dyDescent="0.25">
      <c r="I1323" s="104"/>
      <c r="J1323" s="104"/>
      <c r="K1323" s="682"/>
    </row>
    <row r="1324" spans="9:11" x14ac:dyDescent="0.25">
      <c r="I1324" s="104"/>
      <c r="J1324" s="104"/>
      <c r="K1324" s="682"/>
    </row>
    <row r="1325" spans="9:11" x14ac:dyDescent="0.25">
      <c r="I1325" s="104"/>
      <c r="J1325" s="104"/>
      <c r="K1325" s="682"/>
    </row>
    <row r="1326" spans="9:11" x14ac:dyDescent="0.25">
      <c r="I1326" s="104"/>
      <c r="J1326" s="104"/>
      <c r="K1326" s="682"/>
    </row>
    <row r="1327" spans="9:11" x14ac:dyDescent="0.25">
      <c r="I1327" s="104"/>
      <c r="J1327" s="104"/>
      <c r="K1327" s="682"/>
    </row>
    <row r="1328" spans="9:11" x14ac:dyDescent="0.25">
      <c r="I1328" s="104"/>
      <c r="J1328" s="104"/>
      <c r="K1328" s="682"/>
    </row>
    <row r="1329" spans="9:11" x14ac:dyDescent="0.25">
      <c r="I1329" s="104"/>
      <c r="J1329" s="104"/>
      <c r="K1329" s="682"/>
    </row>
    <row r="1330" spans="9:11" x14ac:dyDescent="0.25">
      <c r="I1330" s="104"/>
      <c r="J1330" s="104"/>
      <c r="K1330" s="682"/>
    </row>
    <row r="1331" spans="9:11" x14ac:dyDescent="0.25">
      <c r="I1331" s="104"/>
      <c r="J1331" s="104"/>
      <c r="K1331" s="682"/>
    </row>
    <row r="1332" spans="9:11" x14ac:dyDescent="0.25">
      <c r="I1332" s="104"/>
      <c r="J1332" s="104"/>
      <c r="K1332" s="682"/>
    </row>
    <row r="1333" spans="9:11" x14ac:dyDescent="0.25">
      <c r="I1333" s="104"/>
      <c r="J1333" s="104"/>
      <c r="K1333" s="682"/>
    </row>
    <row r="1334" spans="9:11" x14ac:dyDescent="0.25">
      <c r="I1334" s="104"/>
      <c r="J1334" s="104"/>
      <c r="K1334" s="682"/>
    </row>
    <row r="1335" spans="9:11" x14ac:dyDescent="0.25">
      <c r="I1335" s="104"/>
      <c r="J1335" s="104"/>
      <c r="K1335" s="682"/>
    </row>
    <row r="1336" spans="9:11" x14ac:dyDescent="0.25">
      <c r="I1336" s="104"/>
      <c r="J1336" s="104"/>
      <c r="K1336" s="682"/>
    </row>
    <row r="1337" spans="9:11" x14ac:dyDescent="0.25">
      <c r="I1337" s="104"/>
      <c r="J1337" s="104"/>
      <c r="K1337" s="682"/>
    </row>
    <row r="1338" spans="9:11" x14ac:dyDescent="0.25">
      <c r="I1338" s="104"/>
      <c r="J1338" s="104"/>
      <c r="K1338" s="682"/>
    </row>
    <row r="1339" spans="9:11" x14ac:dyDescent="0.25">
      <c r="I1339" s="104"/>
      <c r="J1339" s="104"/>
      <c r="K1339" s="682"/>
    </row>
    <row r="1340" spans="9:11" x14ac:dyDescent="0.25">
      <c r="I1340" s="104"/>
      <c r="J1340" s="104"/>
      <c r="K1340" s="682"/>
    </row>
    <row r="1341" spans="9:11" x14ac:dyDescent="0.25">
      <c r="I1341" s="104"/>
      <c r="J1341" s="104"/>
      <c r="K1341" s="682"/>
    </row>
    <row r="1342" spans="9:11" x14ac:dyDescent="0.25">
      <c r="I1342" s="104"/>
      <c r="J1342" s="104"/>
      <c r="K1342" s="682"/>
    </row>
    <row r="1343" spans="9:11" x14ac:dyDescent="0.25">
      <c r="I1343" s="104"/>
      <c r="J1343" s="104"/>
      <c r="K1343" s="682"/>
    </row>
    <row r="1344" spans="9:11" x14ac:dyDescent="0.25">
      <c r="I1344" s="104"/>
      <c r="J1344" s="104"/>
      <c r="K1344" s="682"/>
    </row>
    <row r="1345" spans="9:11" x14ac:dyDescent="0.25">
      <c r="I1345" s="104"/>
      <c r="J1345" s="104"/>
      <c r="K1345" s="682"/>
    </row>
    <row r="1346" spans="9:11" x14ac:dyDescent="0.25">
      <c r="I1346" s="104"/>
      <c r="J1346" s="104"/>
      <c r="K1346" s="682"/>
    </row>
    <row r="1347" spans="9:11" x14ac:dyDescent="0.25">
      <c r="I1347" s="104"/>
      <c r="J1347" s="104"/>
      <c r="K1347" s="682"/>
    </row>
    <row r="1348" spans="9:11" x14ac:dyDescent="0.25">
      <c r="I1348" s="104"/>
      <c r="J1348" s="104"/>
      <c r="K1348" s="682"/>
    </row>
    <row r="1349" spans="9:11" x14ac:dyDescent="0.25">
      <c r="I1349" s="104"/>
      <c r="J1349" s="104"/>
      <c r="K1349" s="682"/>
    </row>
    <row r="1350" spans="9:11" x14ac:dyDescent="0.25">
      <c r="I1350" s="104"/>
      <c r="J1350" s="104"/>
      <c r="K1350" s="682"/>
    </row>
    <row r="1351" spans="9:11" x14ac:dyDescent="0.25">
      <c r="I1351" s="104"/>
      <c r="J1351" s="104"/>
      <c r="K1351" s="682"/>
    </row>
    <row r="1352" spans="9:11" x14ac:dyDescent="0.25">
      <c r="I1352" s="104"/>
      <c r="J1352" s="104"/>
      <c r="K1352" s="682"/>
    </row>
    <row r="1353" spans="9:11" x14ac:dyDescent="0.25">
      <c r="I1353" s="104"/>
      <c r="J1353" s="104"/>
      <c r="K1353" s="682"/>
    </row>
    <row r="1354" spans="9:11" x14ac:dyDescent="0.25">
      <c r="I1354" s="104"/>
      <c r="J1354" s="104"/>
      <c r="K1354" s="682"/>
    </row>
    <row r="1355" spans="9:11" x14ac:dyDescent="0.25">
      <c r="I1355" s="104"/>
      <c r="J1355" s="104"/>
      <c r="K1355" s="682"/>
    </row>
    <row r="1356" spans="9:11" x14ac:dyDescent="0.25">
      <c r="I1356" s="104"/>
      <c r="J1356" s="104"/>
      <c r="K1356" s="682"/>
    </row>
    <row r="1357" spans="9:11" x14ac:dyDescent="0.25">
      <c r="I1357" s="104"/>
      <c r="J1357" s="104"/>
      <c r="K1357" s="682"/>
    </row>
    <row r="1358" spans="9:11" x14ac:dyDescent="0.25">
      <c r="I1358" s="104"/>
      <c r="J1358" s="104"/>
      <c r="K1358" s="682"/>
    </row>
    <row r="1359" spans="9:11" x14ac:dyDescent="0.25">
      <c r="I1359" s="104"/>
      <c r="J1359" s="104"/>
      <c r="K1359" s="682"/>
    </row>
    <row r="1360" spans="9:11" x14ac:dyDescent="0.25">
      <c r="I1360" s="104"/>
      <c r="J1360" s="104"/>
      <c r="K1360" s="682"/>
    </row>
    <row r="1361" spans="9:11" x14ac:dyDescent="0.25">
      <c r="I1361" s="104"/>
      <c r="J1361" s="104"/>
      <c r="K1361" s="682"/>
    </row>
    <row r="1362" spans="9:11" x14ac:dyDescent="0.25">
      <c r="I1362" s="104"/>
      <c r="J1362" s="104"/>
      <c r="K1362" s="682"/>
    </row>
    <row r="1363" spans="9:11" x14ac:dyDescent="0.25">
      <c r="I1363" s="104"/>
      <c r="J1363" s="104"/>
      <c r="K1363" s="682"/>
    </row>
    <row r="1364" spans="9:11" x14ac:dyDescent="0.25">
      <c r="I1364" s="104"/>
      <c r="J1364" s="104"/>
      <c r="K1364" s="682"/>
    </row>
    <row r="1365" spans="9:11" x14ac:dyDescent="0.25">
      <c r="I1365" s="104"/>
      <c r="J1365" s="104"/>
      <c r="K1365" s="682"/>
    </row>
    <row r="1366" spans="9:11" x14ac:dyDescent="0.25">
      <c r="I1366" s="104"/>
      <c r="J1366" s="104"/>
      <c r="K1366" s="682"/>
    </row>
    <row r="1367" spans="9:11" x14ac:dyDescent="0.25">
      <c r="I1367" s="104"/>
      <c r="J1367" s="104"/>
      <c r="K1367" s="682"/>
    </row>
    <row r="1368" spans="9:11" x14ac:dyDescent="0.25">
      <c r="I1368" s="104"/>
      <c r="J1368" s="104"/>
      <c r="K1368" s="682"/>
    </row>
    <row r="1369" spans="9:11" x14ac:dyDescent="0.25">
      <c r="I1369" s="104"/>
      <c r="J1369" s="104"/>
      <c r="K1369" s="682"/>
    </row>
    <row r="1370" spans="9:11" x14ac:dyDescent="0.25">
      <c r="I1370" s="104"/>
      <c r="J1370" s="104"/>
      <c r="K1370" s="682"/>
    </row>
    <row r="1371" spans="9:11" x14ac:dyDescent="0.25">
      <c r="I1371" s="104"/>
      <c r="J1371" s="104"/>
      <c r="K1371" s="682"/>
    </row>
    <row r="1372" spans="9:11" x14ac:dyDescent="0.25">
      <c r="I1372" s="104"/>
      <c r="J1372" s="104"/>
      <c r="K1372" s="682"/>
    </row>
    <row r="1373" spans="9:11" x14ac:dyDescent="0.25">
      <c r="I1373" s="104"/>
      <c r="J1373" s="104"/>
      <c r="K1373" s="682"/>
    </row>
    <row r="1374" spans="9:11" x14ac:dyDescent="0.25">
      <c r="I1374" s="104"/>
      <c r="J1374" s="104"/>
      <c r="K1374" s="682"/>
    </row>
    <row r="1375" spans="9:11" x14ac:dyDescent="0.25">
      <c r="I1375" s="104"/>
      <c r="J1375" s="104"/>
      <c r="K1375" s="682"/>
    </row>
    <row r="1376" spans="9:11" x14ac:dyDescent="0.25">
      <c r="I1376" s="104"/>
      <c r="J1376" s="104"/>
      <c r="K1376" s="682"/>
    </row>
    <row r="1377" spans="9:11" x14ac:dyDescent="0.25">
      <c r="I1377" s="104"/>
      <c r="J1377" s="104"/>
      <c r="K1377" s="682"/>
    </row>
    <row r="1378" spans="9:11" x14ac:dyDescent="0.25">
      <c r="I1378" s="104"/>
      <c r="J1378" s="104"/>
      <c r="K1378" s="682"/>
    </row>
    <row r="1379" spans="9:11" x14ac:dyDescent="0.25">
      <c r="I1379" s="104"/>
      <c r="J1379" s="104"/>
      <c r="K1379" s="682"/>
    </row>
    <row r="1380" spans="9:11" x14ac:dyDescent="0.25">
      <c r="I1380" s="104"/>
      <c r="J1380" s="104"/>
      <c r="K1380" s="682"/>
    </row>
    <row r="1381" spans="9:11" x14ac:dyDescent="0.25">
      <c r="I1381" s="104"/>
      <c r="J1381" s="104"/>
      <c r="K1381" s="682"/>
    </row>
    <row r="1382" spans="9:11" x14ac:dyDescent="0.25">
      <c r="I1382" s="104"/>
      <c r="J1382" s="104"/>
      <c r="K1382" s="682"/>
    </row>
    <row r="1383" spans="9:11" x14ac:dyDescent="0.25">
      <c r="I1383" s="104"/>
      <c r="J1383" s="104"/>
      <c r="K1383" s="682"/>
    </row>
    <row r="1384" spans="9:11" x14ac:dyDescent="0.25">
      <c r="I1384" s="104"/>
      <c r="J1384" s="104"/>
      <c r="K1384" s="682"/>
    </row>
    <row r="1385" spans="9:11" x14ac:dyDescent="0.25">
      <c r="I1385" s="104"/>
      <c r="J1385" s="104"/>
      <c r="K1385" s="682"/>
    </row>
    <row r="1386" spans="9:11" x14ac:dyDescent="0.25">
      <c r="I1386" s="104"/>
      <c r="J1386" s="104"/>
      <c r="K1386" s="682"/>
    </row>
    <row r="1387" spans="9:11" x14ac:dyDescent="0.25">
      <c r="I1387" s="104"/>
      <c r="J1387" s="104"/>
      <c r="K1387" s="682"/>
    </row>
    <row r="1388" spans="9:11" x14ac:dyDescent="0.25">
      <c r="I1388" s="104"/>
      <c r="J1388" s="104"/>
      <c r="K1388" s="682"/>
    </row>
    <row r="1389" spans="9:11" x14ac:dyDescent="0.25">
      <c r="I1389" s="104"/>
      <c r="J1389" s="104"/>
      <c r="K1389" s="682"/>
    </row>
    <row r="1390" spans="9:11" x14ac:dyDescent="0.25">
      <c r="I1390" s="104"/>
      <c r="J1390" s="104"/>
      <c r="K1390" s="682"/>
    </row>
    <row r="1391" spans="9:11" x14ac:dyDescent="0.25">
      <c r="I1391" s="104"/>
      <c r="J1391" s="104"/>
      <c r="K1391" s="682"/>
    </row>
    <row r="1392" spans="9:11" x14ac:dyDescent="0.25">
      <c r="I1392" s="104"/>
      <c r="J1392" s="104"/>
      <c r="K1392" s="682"/>
    </row>
    <row r="1393" spans="9:11" x14ac:dyDescent="0.25">
      <c r="I1393" s="104"/>
      <c r="J1393" s="104"/>
      <c r="K1393" s="682"/>
    </row>
    <row r="1394" spans="9:11" x14ac:dyDescent="0.25">
      <c r="I1394" s="104"/>
      <c r="J1394" s="104"/>
      <c r="K1394" s="682"/>
    </row>
    <row r="1395" spans="9:11" x14ac:dyDescent="0.25">
      <c r="I1395" s="104"/>
      <c r="J1395" s="104"/>
      <c r="K1395" s="682"/>
    </row>
    <row r="1396" spans="9:11" x14ac:dyDescent="0.25">
      <c r="I1396" s="104"/>
      <c r="J1396" s="104"/>
      <c r="K1396" s="682"/>
    </row>
    <row r="1397" spans="9:11" x14ac:dyDescent="0.25">
      <c r="I1397" s="104"/>
      <c r="J1397" s="104"/>
      <c r="K1397" s="682"/>
    </row>
    <row r="1398" spans="9:11" x14ac:dyDescent="0.25">
      <c r="I1398" s="104"/>
      <c r="J1398" s="104"/>
      <c r="K1398" s="682"/>
    </row>
    <row r="1399" spans="9:11" x14ac:dyDescent="0.25">
      <c r="I1399" s="104"/>
      <c r="J1399" s="104"/>
      <c r="K1399" s="682"/>
    </row>
    <row r="1400" spans="9:11" x14ac:dyDescent="0.25">
      <c r="I1400" s="104"/>
      <c r="J1400" s="104"/>
      <c r="K1400" s="682"/>
    </row>
    <row r="1401" spans="9:11" x14ac:dyDescent="0.25">
      <c r="I1401" s="104"/>
      <c r="J1401" s="104"/>
      <c r="K1401" s="682"/>
    </row>
    <row r="1402" spans="9:11" x14ac:dyDescent="0.25">
      <c r="I1402" s="104"/>
      <c r="J1402" s="104"/>
      <c r="K1402" s="682"/>
    </row>
    <row r="1403" spans="9:11" x14ac:dyDescent="0.25">
      <c r="I1403" s="104"/>
      <c r="J1403" s="104"/>
      <c r="K1403" s="682"/>
    </row>
    <row r="1404" spans="9:11" x14ac:dyDescent="0.25">
      <c r="I1404" s="104"/>
      <c r="J1404" s="104"/>
      <c r="K1404" s="682"/>
    </row>
    <row r="1405" spans="9:11" x14ac:dyDescent="0.25">
      <c r="I1405" s="104"/>
      <c r="J1405" s="104"/>
      <c r="K1405" s="682"/>
    </row>
    <row r="1406" spans="9:11" x14ac:dyDescent="0.25">
      <c r="I1406" s="104"/>
      <c r="J1406" s="104"/>
      <c r="K1406" s="682"/>
    </row>
    <row r="1407" spans="9:11" x14ac:dyDescent="0.25">
      <c r="I1407" s="104"/>
      <c r="J1407" s="104"/>
      <c r="K1407" s="682"/>
    </row>
    <row r="1408" spans="9:11" x14ac:dyDescent="0.25">
      <c r="I1408" s="104"/>
      <c r="J1408" s="104"/>
      <c r="K1408" s="682"/>
    </row>
    <row r="1409" spans="9:11" x14ac:dyDescent="0.25">
      <c r="I1409" s="104"/>
      <c r="J1409" s="104"/>
      <c r="K1409" s="682"/>
    </row>
    <row r="1410" spans="9:11" x14ac:dyDescent="0.25">
      <c r="I1410" s="104"/>
      <c r="J1410" s="104"/>
      <c r="K1410" s="682"/>
    </row>
    <row r="1411" spans="9:11" x14ac:dyDescent="0.25">
      <c r="I1411" s="104"/>
      <c r="J1411" s="104"/>
      <c r="K1411" s="682"/>
    </row>
    <row r="1412" spans="9:11" x14ac:dyDescent="0.25">
      <c r="I1412" s="104"/>
      <c r="J1412" s="104"/>
      <c r="K1412" s="682"/>
    </row>
    <row r="1413" spans="9:11" x14ac:dyDescent="0.25">
      <c r="I1413" s="104"/>
      <c r="J1413" s="104"/>
      <c r="K1413" s="682"/>
    </row>
    <row r="1414" spans="9:11" x14ac:dyDescent="0.25">
      <c r="I1414" s="104"/>
      <c r="J1414" s="104"/>
      <c r="K1414" s="682"/>
    </row>
    <row r="1415" spans="9:11" x14ac:dyDescent="0.25">
      <c r="I1415" s="104"/>
      <c r="J1415" s="104"/>
      <c r="K1415" s="682"/>
    </row>
    <row r="1416" spans="9:11" x14ac:dyDescent="0.25">
      <c r="I1416" s="104"/>
      <c r="J1416" s="104"/>
      <c r="K1416" s="682"/>
    </row>
    <row r="1417" spans="9:11" x14ac:dyDescent="0.25">
      <c r="I1417" s="104"/>
      <c r="J1417" s="104"/>
      <c r="K1417" s="682"/>
    </row>
    <row r="1418" spans="9:11" x14ac:dyDescent="0.25">
      <c r="I1418" s="104"/>
      <c r="J1418" s="104"/>
      <c r="K1418" s="682"/>
    </row>
    <row r="1419" spans="9:11" x14ac:dyDescent="0.25">
      <c r="I1419" s="104"/>
      <c r="J1419" s="104"/>
      <c r="K1419" s="682"/>
    </row>
    <row r="1420" spans="9:11" x14ac:dyDescent="0.25">
      <c r="I1420" s="104"/>
      <c r="J1420" s="104"/>
      <c r="K1420" s="682"/>
    </row>
    <row r="1421" spans="9:11" x14ac:dyDescent="0.25">
      <c r="I1421" s="104"/>
      <c r="J1421" s="104"/>
      <c r="K1421" s="682"/>
    </row>
    <row r="1422" spans="9:11" x14ac:dyDescent="0.25">
      <c r="I1422" s="104"/>
      <c r="J1422" s="104"/>
      <c r="K1422" s="682"/>
    </row>
    <row r="1423" spans="9:11" x14ac:dyDescent="0.25">
      <c r="I1423" s="104"/>
      <c r="J1423" s="104"/>
      <c r="K1423" s="682"/>
    </row>
    <row r="1424" spans="9:11" x14ac:dyDescent="0.25">
      <c r="I1424" s="104"/>
      <c r="J1424" s="104"/>
      <c r="K1424" s="682"/>
    </row>
    <row r="1425" spans="9:11" x14ac:dyDescent="0.25">
      <c r="I1425" s="104"/>
      <c r="J1425" s="104"/>
      <c r="K1425" s="682"/>
    </row>
    <row r="1426" spans="9:11" x14ac:dyDescent="0.25">
      <c r="I1426" s="104"/>
      <c r="J1426" s="104"/>
      <c r="K1426" s="682"/>
    </row>
    <row r="1427" spans="9:11" x14ac:dyDescent="0.25">
      <c r="I1427" s="104"/>
      <c r="J1427" s="104"/>
      <c r="K1427" s="682"/>
    </row>
    <row r="1428" spans="9:11" x14ac:dyDescent="0.25">
      <c r="I1428" s="104"/>
      <c r="J1428" s="104"/>
      <c r="K1428" s="682"/>
    </row>
    <row r="1429" spans="9:11" x14ac:dyDescent="0.25">
      <c r="I1429" s="104"/>
      <c r="J1429" s="104"/>
      <c r="K1429" s="682"/>
    </row>
    <row r="1430" spans="9:11" x14ac:dyDescent="0.25">
      <c r="I1430" s="104"/>
      <c r="J1430" s="104"/>
      <c r="K1430" s="682"/>
    </row>
    <row r="1431" spans="9:11" x14ac:dyDescent="0.25">
      <c r="I1431" s="104"/>
      <c r="J1431" s="104"/>
      <c r="K1431" s="682"/>
    </row>
    <row r="1432" spans="9:11" x14ac:dyDescent="0.25">
      <c r="I1432" s="104"/>
      <c r="J1432" s="104"/>
      <c r="K1432" s="682"/>
    </row>
    <row r="1433" spans="9:11" x14ac:dyDescent="0.25">
      <c r="I1433" s="104"/>
      <c r="J1433" s="104"/>
      <c r="K1433" s="682"/>
    </row>
    <row r="1434" spans="9:11" x14ac:dyDescent="0.25">
      <c r="I1434" s="104"/>
      <c r="J1434" s="104"/>
      <c r="K1434" s="682"/>
    </row>
    <row r="1435" spans="9:11" x14ac:dyDescent="0.25">
      <c r="I1435" s="104"/>
      <c r="J1435" s="104"/>
      <c r="K1435" s="682"/>
    </row>
    <row r="1436" spans="9:11" x14ac:dyDescent="0.25">
      <c r="I1436" s="104"/>
      <c r="J1436" s="104"/>
      <c r="K1436" s="682"/>
    </row>
    <row r="1437" spans="9:11" x14ac:dyDescent="0.25">
      <c r="I1437" s="104"/>
      <c r="J1437" s="104"/>
      <c r="K1437" s="682"/>
    </row>
    <row r="1438" spans="9:11" x14ac:dyDescent="0.25">
      <c r="I1438" s="104"/>
      <c r="J1438" s="104"/>
      <c r="K1438" s="682"/>
    </row>
    <row r="1439" spans="9:11" x14ac:dyDescent="0.25">
      <c r="I1439" s="104"/>
      <c r="J1439" s="104"/>
      <c r="K1439" s="682"/>
    </row>
    <row r="1440" spans="9:11" x14ac:dyDescent="0.25">
      <c r="I1440" s="104"/>
      <c r="J1440" s="104"/>
      <c r="K1440" s="682"/>
    </row>
    <row r="1441" spans="9:11" x14ac:dyDescent="0.25">
      <c r="I1441" s="104"/>
      <c r="J1441" s="104"/>
      <c r="K1441" s="682"/>
    </row>
    <row r="1442" spans="9:11" x14ac:dyDescent="0.25">
      <c r="I1442" s="104"/>
      <c r="J1442" s="104"/>
      <c r="K1442" s="682"/>
    </row>
    <row r="1443" spans="9:11" x14ac:dyDescent="0.25">
      <c r="I1443" s="104"/>
      <c r="J1443" s="104"/>
      <c r="K1443" s="682"/>
    </row>
    <row r="1444" spans="9:11" x14ac:dyDescent="0.25">
      <c r="I1444" s="104"/>
      <c r="J1444" s="104"/>
      <c r="K1444" s="682"/>
    </row>
    <row r="1445" spans="9:11" x14ac:dyDescent="0.25">
      <c r="I1445" s="104"/>
      <c r="J1445" s="104"/>
      <c r="K1445" s="682"/>
    </row>
    <row r="1446" spans="9:11" x14ac:dyDescent="0.25">
      <c r="I1446" s="104"/>
      <c r="J1446" s="104"/>
      <c r="K1446" s="682"/>
    </row>
    <row r="1447" spans="9:11" x14ac:dyDescent="0.25">
      <c r="I1447" s="104"/>
      <c r="J1447" s="104"/>
      <c r="K1447" s="682"/>
    </row>
    <row r="1448" spans="9:11" x14ac:dyDescent="0.25">
      <c r="I1448" s="104"/>
      <c r="J1448" s="104"/>
      <c r="K1448" s="682"/>
    </row>
    <row r="1449" spans="9:11" x14ac:dyDescent="0.25">
      <c r="I1449" s="104"/>
      <c r="J1449" s="104"/>
      <c r="K1449" s="682"/>
    </row>
    <row r="1450" spans="9:11" x14ac:dyDescent="0.25">
      <c r="I1450" s="104"/>
      <c r="J1450" s="104"/>
      <c r="K1450" s="682"/>
    </row>
    <row r="1451" spans="9:11" x14ac:dyDescent="0.25">
      <c r="I1451" s="104"/>
      <c r="J1451" s="104"/>
      <c r="K1451" s="682"/>
    </row>
    <row r="1452" spans="9:11" x14ac:dyDescent="0.25">
      <c r="I1452" s="104"/>
      <c r="J1452" s="104"/>
      <c r="K1452" s="682"/>
    </row>
    <row r="1453" spans="9:11" x14ac:dyDescent="0.25">
      <c r="I1453" s="104"/>
      <c r="J1453" s="104"/>
      <c r="K1453" s="682"/>
    </row>
    <row r="1454" spans="9:11" x14ac:dyDescent="0.25">
      <c r="I1454" s="104"/>
      <c r="J1454" s="104"/>
      <c r="K1454" s="682"/>
    </row>
    <row r="1455" spans="9:11" x14ac:dyDescent="0.25">
      <c r="I1455" s="104"/>
      <c r="J1455" s="104"/>
      <c r="K1455" s="682"/>
    </row>
    <row r="1456" spans="9:11" x14ac:dyDescent="0.25">
      <c r="I1456" s="104"/>
      <c r="J1456" s="104"/>
      <c r="K1456" s="682"/>
    </row>
    <row r="1457" spans="9:11" x14ac:dyDescent="0.25">
      <c r="I1457" s="104"/>
      <c r="J1457" s="104"/>
      <c r="K1457" s="682"/>
    </row>
    <row r="1458" spans="9:11" x14ac:dyDescent="0.25">
      <c r="I1458" s="104"/>
      <c r="J1458" s="104"/>
      <c r="K1458" s="682"/>
    </row>
    <row r="1459" spans="9:11" x14ac:dyDescent="0.25">
      <c r="I1459" s="104"/>
      <c r="J1459" s="104"/>
      <c r="K1459" s="682"/>
    </row>
    <row r="1460" spans="9:11" x14ac:dyDescent="0.25">
      <c r="I1460" s="104"/>
      <c r="J1460" s="104"/>
      <c r="K1460" s="682"/>
    </row>
    <row r="1461" spans="9:11" x14ac:dyDescent="0.25">
      <c r="I1461" s="104"/>
      <c r="J1461" s="104"/>
      <c r="K1461" s="682"/>
    </row>
    <row r="1462" spans="9:11" x14ac:dyDescent="0.25">
      <c r="I1462" s="104"/>
      <c r="J1462" s="104"/>
      <c r="K1462" s="682"/>
    </row>
    <row r="1463" spans="9:11" x14ac:dyDescent="0.25">
      <c r="I1463" s="104"/>
      <c r="J1463" s="104"/>
      <c r="K1463" s="682"/>
    </row>
    <row r="1464" spans="9:11" x14ac:dyDescent="0.25">
      <c r="I1464" s="104"/>
      <c r="J1464" s="104"/>
      <c r="K1464" s="682"/>
    </row>
    <row r="1465" spans="9:11" x14ac:dyDescent="0.25">
      <c r="I1465" s="104"/>
      <c r="J1465" s="104"/>
      <c r="K1465" s="682"/>
    </row>
    <row r="1466" spans="9:11" x14ac:dyDescent="0.25">
      <c r="I1466" s="104"/>
      <c r="J1466" s="104"/>
      <c r="K1466" s="682"/>
    </row>
    <row r="1467" spans="9:11" x14ac:dyDescent="0.25">
      <c r="I1467" s="104"/>
      <c r="J1467" s="104"/>
      <c r="K1467" s="682"/>
    </row>
    <row r="1468" spans="9:11" x14ac:dyDescent="0.25">
      <c r="I1468" s="104"/>
      <c r="J1468" s="104"/>
      <c r="K1468" s="682"/>
    </row>
    <row r="1469" spans="9:11" x14ac:dyDescent="0.25">
      <c r="I1469" s="104"/>
      <c r="J1469" s="104"/>
      <c r="K1469" s="682"/>
    </row>
    <row r="1470" spans="9:11" x14ac:dyDescent="0.25">
      <c r="I1470" s="104"/>
      <c r="J1470" s="104"/>
      <c r="K1470" s="682"/>
    </row>
    <row r="1471" spans="9:11" x14ac:dyDescent="0.25">
      <c r="I1471" s="104"/>
      <c r="J1471" s="104"/>
      <c r="K1471" s="682"/>
    </row>
    <row r="1472" spans="9:11" x14ac:dyDescent="0.25">
      <c r="I1472" s="104"/>
      <c r="J1472" s="104"/>
      <c r="K1472" s="682"/>
    </row>
    <row r="1473" spans="9:11" x14ac:dyDescent="0.25">
      <c r="I1473" s="104"/>
      <c r="J1473" s="104"/>
      <c r="K1473" s="682"/>
    </row>
    <row r="1474" spans="9:11" x14ac:dyDescent="0.25">
      <c r="I1474" s="104"/>
      <c r="J1474" s="104"/>
      <c r="K1474" s="682"/>
    </row>
    <row r="1475" spans="9:11" x14ac:dyDescent="0.25">
      <c r="I1475" s="104"/>
      <c r="J1475" s="104"/>
      <c r="K1475" s="682"/>
    </row>
    <row r="1476" spans="9:11" x14ac:dyDescent="0.25">
      <c r="I1476" s="104"/>
      <c r="J1476" s="104"/>
      <c r="K1476" s="682"/>
    </row>
    <row r="1477" spans="9:11" x14ac:dyDescent="0.25">
      <c r="I1477" s="104"/>
      <c r="J1477" s="104"/>
      <c r="K1477" s="682"/>
    </row>
    <row r="1478" spans="9:11" x14ac:dyDescent="0.25">
      <c r="I1478" s="104"/>
      <c r="J1478" s="104"/>
      <c r="K1478" s="682"/>
    </row>
    <row r="1479" spans="9:11" x14ac:dyDescent="0.25">
      <c r="I1479" s="104"/>
      <c r="J1479" s="104"/>
      <c r="K1479" s="682"/>
    </row>
    <row r="1480" spans="9:11" x14ac:dyDescent="0.25">
      <c r="I1480" s="104"/>
      <c r="J1480" s="104"/>
      <c r="K1480" s="682"/>
    </row>
    <row r="1481" spans="9:11" x14ac:dyDescent="0.25">
      <c r="I1481" s="104"/>
      <c r="J1481" s="104"/>
      <c r="K1481" s="682"/>
    </row>
    <row r="1482" spans="9:11" x14ac:dyDescent="0.25">
      <c r="I1482" s="104"/>
      <c r="J1482" s="104"/>
      <c r="K1482" s="682"/>
    </row>
    <row r="1483" spans="9:11" x14ac:dyDescent="0.25">
      <c r="I1483" s="104"/>
      <c r="J1483" s="104"/>
      <c r="K1483" s="682"/>
    </row>
    <row r="1484" spans="9:11" x14ac:dyDescent="0.25">
      <c r="I1484" s="104"/>
      <c r="J1484" s="104"/>
      <c r="K1484" s="682"/>
    </row>
    <row r="1485" spans="9:11" x14ac:dyDescent="0.25">
      <c r="I1485" s="104"/>
      <c r="J1485" s="104"/>
      <c r="K1485" s="682"/>
    </row>
    <row r="1486" spans="9:11" x14ac:dyDescent="0.25">
      <c r="I1486" s="104"/>
      <c r="J1486" s="104"/>
      <c r="K1486" s="682"/>
    </row>
    <row r="1487" spans="9:11" x14ac:dyDescent="0.25">
      <c r="I1487" s="104"/>
      <c r="J1487" s="104"/>
      <c r="K1487" s="682"/>
    </row>
    <row r="1488" spans="9:11" x14ac:dyDescent="0.25">
      <c r="I1488" s="104"/>
      <c r="J1488" s="104"/>
      <c r="K1488" s="682"/>
    </row>
    <row r="1489" spans="9:11" x14ac:dyDescent="0.25">
      <c r="I1489" s="104"/>
      <c r="J1489" s="104"/>
      <c r="K1489" s="682"/>
    </row>
    <row r="1490" spans="9:11" x14ac:dyDescent="0.25">
      <c r="I1490" s="104"/>
      <c r="J1490" s="104"/>
      <c r="K1490" s="682"/>
    </row>
    <row r="1491" spans="9:11" x14ac:dyDescent="0.25">
      <c r="I1491" s="104"/>
      <c r="J1491" s="104"/>
      <c r="K1491" s="682"/>
    </row>
    <row r="1492" spans="9:11" x14ac:dyDescent="0.25">
      <c r="I1492" s="104"/>
      <c r="J1492" s="104"/>
      <c r="K1492" s="682"/>
    </row>
    <row r="1493" spans="9:11" x14ac:dyDescent="0.25">
      <c r="I1493" s="104"/>
      <c r="J1493" s="104"/>
      <c r="K1493" s="682"/>
    </row>
    <row r="1494" spans="9:11" x14ac:dyDescent="0.25">
      <c r="I1494" s="104"/>
      <c r="J1494" s="104"/>
      <c r="K1494" s="682"/>
    </row>
    <row r="1495" spans="9:11" x14ac:dyDescent="0.25">
      <c r="I1495" s="104"/>
      <c r="J1495" s="104"/>
      <c r="K1495" s="682"/>
    </row>
    <row r="1496" spans="9:11" x14ac:dyDescent="0.25">
      <c r="I1496" s="104"/>
      <c r="J1496" s="104"/>
      <c r="K1496" s="682"/>
    </row>
    <row r="1497" spans="9:11" x14ac:dyDescent="0.25">
      <c r="I1497" s="104"/>
      <c r="J1497" s="104"/>
      <c r="K1497" s="682"/>
    </row>
    <row r="1498" spans="9:11" x14ac:dyDescent="0.25">
      <c r="I1498" s="104"/>
      <c r="J1498" s="104"/>
      <c r="K1498" s="682"/>
    </row>
    <row r="1499" spans="9:11" x14ac:dyDescent="0.25">
      <c r="I1499" s="104"/>
      <c r="J1499" s="104"/>
      <c r="K1499" s="682"/>
    </row>
    <row r="1500" spans="9:11" x14ac:dyDescent="0.25">
      <c r="I1500" s="104"/>
      <c r="J1500" s="104"/>
      <c r="K1500" s="682"/>
    </row>
    <row r="1501" spans="9:11" x14ac:dyDescent="0.25">
      <c r="I1501" s="104"/>
      <c r="J1501" s="104"/>
      <c r="K1501" s="682"/>
    </row>
    <row r="1502" spans="9:11" x14ac:dyDescent="0.25">
      <c r="I1502" s="104"/>
      <c r="J1502" s="104"/>
      <c r="K1502" s="682"/>
    </row>
    <row r="1503" spans="9:11" x14ac:dyDescent="0.25">
      <c r="I1503" s="104"/>
      <c r="J1503" s="104"/>
      <c r="K1503" s="682"/>
    </row>
    <row r="1504" spans="9:11" x14ac:dyDescent="0.25">
      <c r="I1504" s="104"/>
      <c r="J1504" s="104"/>
      <c r="K1504" s="682"/>
    </row>
    <row r="1505" spans="9:11" x14ac:dyDescent="0.25">
      <c r="I1505" s="104"/>
      <c r="J1505" s="104"/>
      <c r="K1505" s="682"/>
    </row>
    <row r="1506" spans="9:11" x14ac:dyDescent="0.25">
      <c r="I1506" s="104"/>
      <c r="J1506" s="104"/>
      <c r="K1506" s="682"/>
    </row>
    <row r="1507" spans="9:11" x14ac:dyDescent="0.25">
      <c r="I1507" s="104"/>
      <c r="J1507" s="104"/>
      <c r="K1507" s="682"/>
    </row>
    <row r="1508" spans="9:11" x14ac:dyDescent="0.25">
      <c r="I1508" s="104"/>
      <c r="J1508" s="104"/>
      <c r="K1508" s="682"/>
    </row>
    <row r="1509" spans="9:11" x14ac:dyDescent="0.25">
      <c r="I1509" s="104"/>
      <c r="J1509" s="104"/>
      <c r="K1509" s="682"/>
    </row>
    <row r="1510" spans="9:11" x14ac:dyDescent="0.25">
      <c r="I1510" s="104"/>
      <c r="J1510" s="104"/>
      <c r="K1510" s="682"/>
    </row>
    <row r="1511" spans="9:11" x14ac:dyDescent="0.25">
      <c r="I1511" s="104"/>
      <c r="J1511" s="104"/>
      <c r="K1511" s="682"/>
    </row>
    <row r="1512" spans="9:11" x14ac:dyDescent="0.25">
      <c r="I1512" s="104"/>
      <c r="J1512" s="104"/>
      <c r="K1512" s="682"/>
    </row>
    <row r="1513" spans="9:11" x14ac:dyDescent="0.25">
      <c r="I1513" s="104"/>
      <c r="J1513" s="104"/>
      <c r="K1513" s="682"/>
    </row>
    <row r="1514" spans="9:11" x14ac:dyDescent="0.25">
      <c r="I1514" s="104"/>
      <c r="J1514" s="104"/>
      <c r="K1514" s="682"/>
    </row>
    <row r="1515" spans="9:11" x14ac:dyDescent="0.25">
      <c r="I1515" s="104"/>
      <c r="J1515" s="104"/>
      <c r="K1515" s="682"/>
    </row>
    <row r="1516" spans="9:11" x14ac:dyDescent="0.25">
      <c r="I1516" s="104"/>
      <c r="J1516" s="104"/>
      <c r="K1516" s="682"/>
    </row>
    <row r="1517" spans="9:11" x14ac:dyDescent="0.25">
      <c r="I1517" s="104"/>
      <c r="J1517" s="104"/>
      <c r="K1517" s="682"/>
    </row>
    <row r="1518" spans="9:11" x14ac:dyDescent="0.25">
      <c r="I1518" s="104"/>
      <c r="J1518" s="104"/>
      <c r="K1518" s="682"/>
    </row>
    <row r="1519" spans="9:11" x14ac:dyDescent="0.25">
      <c r="I1519" s="104"/>
      <c r="J1519" s="104"/>
      <c r="K1519" s="682"/>
    </row>
    <row r="1520" spans="9:11" x14ac:dyDescent="0.25">
      <c r="I1520" s="104"/>
      <c r="J1520" s="104"/>
      <c r="K1520" s="682"/>
    </row>
    <row r="1521" spans="9:11" x14ac:dyDescent="0.25">
      <c r="I1521" s="104"/>
      <c r="J1521" s="104"/>
      <c r="K1521" s="682"/>
    </row>
    <row r="1522" spans="9:11" x14ac:dyDescent="0.25">
      <c r="I1522" s="104"/>
      <c r="J1522" s="104"/>
      <c r="K1522" s="682"/>
    </row>
    <row r="1523" spans="9:11" x14ac:dyDescent="0.25">
      <c r="I1523" s="104"/>
      <c r="J1523" s="104"/>
      <c r="K1523" s="682"/>
    </row>
    <row r="1524" spans="9:11" x14ac:dyDescent="0.25">
      <c r="I1524" s="104"/>
      <c r="J1524" s="104"/>
      <c r="K1524" s="682"/>
    </row>
    <row r="1525" spans="9:11" x14ac:dyDescent="0.25">
      <c r="I1525" s="104"/>
      <c r="J1525" s="104"/>
      <c r="K1525" s="682"/>
    </row>
    <row r="1526" spans="9:11" x14ac:dyDescent="0.25">
      <c r="I1526" s="104"/>
      <c r="J1526" s="104"/>
      <c r="K1526" s="682"/>
    </row>
    <row r="1527" spans="9:11" x14ac:dyDescent="0.25">
      <c r="I1527" s="104"/>
      <c r="J1527" s="104"/>
      <c r="K1527" s="682"/>
    </row>
    <row r="1528" spans="9:11" x14ac:dyDescent="0.25">
      <c r="I1528" s="104"/>
      <c r="J1528" s="104"/>
      <c r="K1528" s="682"/>
    </row>
    <row r="1529" spans="9:11" x14ac:dyDescent="0.25">
      <c r="I1529" s="104"/>
      <c r="J1529" s="104"/>
      <c r="K1529" s="682"/>
    </row>
    <row r="1530" spans="9:11" x14ac:dyDescent="0.25">
      <c r="I1530" s="104"/>
      <c r="J1530" s="104"/>
      <c r="K1530" s="682"/>
    </row>
    <row r="1531" spans="9:11" x14ac:dyDescent="0.25">
      <c r="I1531" s="104"/>
      <c r="J1531" s="104"/>
      <c r="K1531" s="682"/>
    </row>
    <row r="1532" spans="9:11" x14ac:dyDescent="0.25">
      <c r="I1532" s="104"/>
      <c r="J1532" s="104"/>
      <c r="K1532" s="682"/>
    </row>
    <row r="1533" spans="9:11" x14ac:dyDescent="0.25">
      <c r="I1533" s="104"/>
      <c r="J1533" s="104"/>
      <c r="K1533" s="682"/>
    </row>
    <row r="1534" spans="9:11" x14ac:dyDescent="0.25">
      <c r="I1534" s="104"/>
      <c r="J1534" s="104"/>
      <c r="K1534" s="682"/>
    </row>
    <row r="1535" spans="9:11" x14ac:dyDescent="0.25">
      <c r="I1535" s="104"/>
      <c r="J1535" s="104"/>
      <c r="K1535" s="682"/>
    </row>
    <row r="1536" spans="9:11" x14ac:dyDescent="0.25">
      <c r="I1536" s="104"/>
      <c r="J1536" s="104"/>
      <c r="K1536" s="682"/>
    </row>
    <row r="1537" spans="9:11" x14ac:dyDescent="0.25">
      <c r="I1537" s="104"/>
      <c r="J1537" s="104"/>
      <c r="K1537" s="682"/>
    </row>
    <row r="1538" spans="9:11" x14ac:dyDescent="0.25">
      <c r="I1538" s="104"/>
      <c r="J1538" s="104"/>
      <c r="K1538" s="682"/>
    </row>
    <row r="1539" spans="9:11" x14ac:dyDescent="0.25">
      <c r="I1539" s="104"/>
      <c r="J1539" s="104"/>
      <c r="K1539" s="682"/>
    </row>
    <row r="1540" spans="9:11" x14ac:dyDescent="0.25">
      <c r="I1540" s="104"/>
      <c r="J1540" s="104"/>
      <c r="K1540" s="682"/>
    </row>
    <row r="1541" spans="9:11" x14ac:dyDescent="0.25">
      <c r="I1541" s="104"/>
      <c r="J1541" s="104"/>
      <c r="K1541" s="682"/>
    </row>
    <row r="1542" spans="9:11" x14ac:dyDescent="0.25">
      <c r="I1542" s="104"/>
      <c r="J1542" s="104"/>
      <c r="K1542" s="682"/>
    </row>
    <row r="1543" spans="9:11" x14ac:dyDescent="0.25">
      <c r="I1543" s="104"/>
      <c r="J1543" s="104"/>
      <c r="K1543" s="682"/>
    </row>
    <row r="1544" spans="9:11" x14ac:dyDescent="0.25">
      <c r="I1544" s="104"/>
      <c r="J1544" s="104"/>
      <c r="K1544" s="682"/>
    </row>
    <row r="1545" spans="9:11" x14ac:dyDescent="0.25">
      <c r="I1545" s="104"/>
      <c r="J1545" s="104"/>
      <c r="K1545" s="682"/>
    </row>
    <row r="1546" spans="9:11" x14ac:dyDescent="0.25">
      <c r="I1546" s="104"/>
      <c r="J1546" s="104"/>
      <c r="K1546" s="682"/>
    </row>
    <row r="1547" spans="9:11" x14ac:dyDescent="0.25">
      <c r="I1547" s="104"/>
      <c r="J1547" s="104"/>
      <c r="K1547" s="682"/>
    </row>
    <row r="1548" spans="9:11" x14ac:dyDescent="0.25">
      <c r="I1548" s="104"/>
      <c r="J1548" s="104"/>
      <c r="K1548" s="682"/>
    </row>
    <row r="1549" spans="9:11" x14ac:dyDescent="0.25">
      <c r="I1549" s="104"/>
      <c r="J1549" s="104"/>
      <c r="K1549" s="682"/>
    </row>
    <row r="1550" spans="9:11" x14ac:dyDescent="0.25">
      <c r="I1550" s="104"/>
      <c r="J1550" s="104"/>
      <c r="K1550" s="682"/>
    </row>
    <row r="1551" spans="9:11" x14ac:dyDescent="0.25">
      <c r="I1551" s="104"/>
      <c r="J1551" s="104"/>
      <c r="K1551" s="682"/>
    </row>
    <row r="1552" spans="9:11" x14ac:dyDescent="0.25">
      <c r="I1552" s="104"/>
      <c r="J1552" s="104"/>
      <c r="K1552" s="682"/>
    </row>
    <row r="1553" spans="9:11" x14ac:dyDescent="0.25">
      <c r="I1553" s="104"/>
      <c r="J1553" s="104"/>
      <c r="K1553" s="682"/>
    </row>
    <row r="1554" spans="9:11" x14ac:dyDescent="0.25">
      <c r="I1554" s="104"/>
      <c r="J1554" s="104"/>
      <c r="K1554" s="682"/>
    </row>
    <row r="1555" spans="9:11" x14ac:dyDescent="0.25">
      <c r="I1555" s="104"/>
      <c r="J1555" s="104"/>
      <c r="K1555" s="682"/>
    </row>
    <row r="1556" spans="9:11" x14ac:dyDescent="0.25">
      <c r="I1556" s="104"/>
      <c r="J1556" s="104"/>
      <c r="K1556" s="682"/>
    </row>
    <row r="1557" spans="9:11" x14ac:dyDescent="0.25">
      <c r="I1557" s="104"/>
      <c r="J1557" s="104"/>
      <c r="K1557" s="682"/>
    </row>
    <row r="1558" spans="9:11" x14ac:dyDescent="0.25">
      <c r="I1558" s="104"/>
      <c r="J1558" s="104"/>
      <c r="K1558" s="682"/>
    </row>
    <row r="1559" spans="9:11" x14ac:dyDescent="0.25">
      <c r="I1559" s="104"/>
      <c r="J1559" s="104"/>
      <c r="K1559" s="682"/>
    </row>
    <row r="1560" spans="9:11" x14ac:dyDescent="0.25">
      <c r="I1560" s="104"/>
      <c r="J1560" s="104"/>
      <c r="K1560" s="682"/>
    </row>
    <row r="1561" spans="9:11" x14ac:dyDescent="0.25">
      <c r="I1561" s="104"/>
      <c r="J1561" s="104"/>
      <c r="K1561" s="682"/>
    </row>
    <row r="1562" spans="9:11" x14ac:dyDescent="0.25">
      <c r="I1562" s="104"/>
      <c r="J1562" s="104"/>
      <c r="K1562" s="682"/>
    </row>
    <row r="1563" spans="9:11" x14ac:dyDescent="0.25">
      <c r="I1563" s="104"/>
      <c r="J1563" s="104"/>
      <c r="K1563" s="682"/>
    </row>
    <row r="1564" spans="9:11" x14ac:dyDescent="0.25">
      <c r="I1564" s="104"/>
      <c r="J1564" s="104"/>
      <c r="K1564" s="682"/>
    </row>
    <row r="1565" spans="9:11" x14ac:dyDescent="0.25">
      <c r="I1565" s="104"/>
      <c r="J1565" s="104"/>
      <c r="K1565" s="682"/>
    </row>
    <row r="1566" spans="9:11" x14ac:dyDescent="0.25">
      <c r="I1566" s="104"/>
      <c r="J1566" s="104"/>
      <c r="K1566" s="682"/>
    </row>
    <row r="1567" spans="9:11" x14ac:dyDescent="0.25">
      <c r="I1567" s="104"/>
      <c r="J1567" s="104"/>
      <c r="K1567" s="682"/>
    </row>
    <row r="1568" spans="9:11" x14ac:dyDescent="0.25">
      <c r="I1568" s="104"/>
      <c r="J1568" s="104"/>
      <c r="K1568" s="682"/>
    </row>
    <row r="1569" spans="9:11" x14ac:dyDescent="0.25">
      <c r="I1569" s="104"/>
      <c r="J1569" s="104"/>
      <c r="K1569" s="682"/>
    </row>
    <row r="1570" spans="9:11" x14ac:dyDescent="0.25">
      <c r="I1570" s="104"/>
      <c r="J1570" s="104"/>
      <c r="K1570" s="682"/>
    </row>
    <row r="1571" spans="9:11" x14ac:dyDescent="0.25">
      <c r="I1571" s="104"/>
      <c r="J1571" s="104"/>
      <c r="K1571" s="682"/>
    </row>
    <row r="1572" spans="9:11" x14ac:dyDescent="0.25">
      <c r="I1572" s="104"/>
      <c r="J1572" s="104"/>
      <c r="K1572" s="682"/>
    </row>
    <row r="1573" spans="9:11" x14ac:dyDescent="0.25">
      <c r="I1573" s="104"/>
      <c r="J1573" s="104"/>
      <c r="K1573" s="682"/>
    </row>
    <row r="1574" spans="9:11" x14ac:dyDescent="0.25">
      <c r="I1574" s="104"/>
      <c r="J1574" s="104"/>
      <c r="K1574" s="682"/>
    </row>
    <row r="1575" spans="9:11" x14ac:dyDescent="0.25">
      <c r="I1575" s="104"/>
      <c r="J1575" s="104"/>
      <c r="K1575" s="682"/>
    </row>
    <row r="1576" spans="9:11" x14ac:dyDescent="0.25">
      <c r="I1576" s="104"/>
      <c r="J1576" s="104"/>
      <c r="K1576" s="682"/>
    </row>
    <row r="1577" spans="9:11" x14ac:dyDescent="0.25">
      <c r="I1577" s="104"/>
      <c r="J1577" s="104"/>
      <c r="K1577" s="682"/>
    </row>
    <row r="1578" spans="9:11" x14ac:dyDescent="0.25">
      <c r="I1578" s="104"/>
      <c r="J1578" s="104"/>
      <c r="K1578" s="682"/>
    </row>
    <row r="1579" spans="9:11" x14ac:dyDescent="0.25">
      <c r="I1579" s="104"/>
      <c r="J1579" s="104"/>
      <c r="K1579" s="682"/>
    </row>
    <row r="1580" spans="9:11" x14ac:dyDescent="0.25">
      <c r="I1580" s="104"/>
      <c r="J1580" s="104"/>
      <c r="K1580" s="682"/>
    </row>
    <row r="1581" spans="9:11" x14ac:dyDescent="0.25">
      <c r="I1581" s="104"/>
      <c r="J1581" s="104"/>
      <c r="K1581" s="682"/>
    </row>
    <row r="1582" spans="9:11" x14ac:dyDescent="0.25">
      <c r="I1582" s="104"/>
      <c r="J1582" s="104"/>
      <c r="K1582" s="682"/>
    </row>
    <row r="1583" spans="9:11" x14ac:dyDescent="0.25">
      <c r="I1583" s="104"/>
      <c r="J1583" s="104"/>
      <c r="K1583" s="682"/>
    </row>
    <row r="1584" spans="9:11" x14ac:dyDescent="0.25">
      <c r="I1584" s="104"/>
      <c r="J1584" s="104"/>
      <c r="K1584" s="682"/>
    </row>
    <row r="1585" spans="9:11" x14ac:dyDescent="0.25">
      <c r="I1585" s="104"/>
      <c r="J1585" s="104"/>
      <c r="K1585" s="682"/>
    </row>
    <row r="1586" spans="9:11" x14ac:dyDescent="0.25">
      <c r="J1586" s="104"/>
    </row>
  </sheetData>
  <sheetProtection algorithmName="SHA-512" hashValue="PH2yccqQwp8BANtIwh5J8R4bheGaBeP/1C8L3KSm9ePXBs6B7ShCXeHkB2Bo97pChTLU5BUy3Bsl+t9KBzfptQ==" saltValue="1xD9dcwsZWBXZ56hO9xVPA==" spinCount="100000" sheet="1" objects="1" scenarios="1" selectLockedCells="1"/>
  <dataConsolidate link="1"/>
  <mergeCells count="158">
    <mergeCell ref="G11:J11"/>
    <mergeCell ref="G15:J15"/>
    <mergeCell ref="S243:T243"/>
    <mergeCell ref="J13:K13"/>
    <mergeCell ref="G13:H13"/>
    <mergeCell ref="G5:P5"/>
    <mergeCell ref="G9:P9"/>
    <mergeCell ref="L13:P13"/>
    <mergeCell ref="G7:J7"/>
    <mergeCell ref="O95:P96"/>
    <mergeCell ref="O136:P137"/>
    <mergeCell ref="G86:H86"/>
    <mergeCell ref="G87:H87"/>
    <mergeCell ref="G88:H88"/>
    <mergeCell ref="E136:H136"/>
    <mergeCell ref="G137:H137"/>
    <mergeCell ref="G144:H144"/>
    <mergeCell ref="G181:H181"/>
    <mergeCell ref="G182:H182"/>
    <mergeCell ref="G233:H233"/>
    <mergeCell ref="G234:H234"/>
    <mergeCell ref="G235:H235"/>
    <mergeCell ref="G236:H236"/>
    <mergeCell ref="G237:H237"/>
    <mergeCell ref="BT97:BU97"/>
    <mergeCell ref="BT120:BU120"/>
    <mergeCell ref="BT124:BU124"/>
    <mergeCell ref="BT121:BU121"/>
    <mergeCell ref="BT122:BU122"/>
    <mergeCell ref="BT123:BU123"/>
    <mergeCell ref="S181:T181"/>
    <mergeCell ref="R126:S126"/>
    <mergeCell ref="T88:U88"/>
    <mergeCell ref="T89:U89"/>
    <mergeCell ref="Q95:R95"/>
    <mergeCell ref="S95:S96"/>
    <mergeCell ref="T95:T96"/>
    <mergeCell ref="T136:T137"/>
    <mergeCell ref="Q136:R136"/>
    <mergeCell ref="S136:S137"/>
    <mergeCell ref="T130:U130"/>
    <mergeCell ref="R157:S157"/>
    <mergeCell ref="Q123:R123"/>
    <mergeCell ref="T129:U129"/>
    <mergeCell ref="R266:T266"/>
    <mergeCell ref="R244:T244"/>
    <mergeCell ref="T247:U247"/>
    <mergeCell ref="O183:P184"/>
    <mergeCell ref="Q183:R183"/>
    <mergeCell ref="S183:S184"/>
    <mergeCell ref="T183:T184"/>
    <mergeCell ref="T251:U251"/>
    <mergeCell ref="T252:U252"/>
    <mergeCell ref="T253:U253"/>
    <mergeCell ref="N245:P246"/>
    <mergeCell ref="Q245:R245"/>
    <mergeCell ref="T245:U246"/>
    <mergeCell ref="T248:U248"/>
    <mergeCell ref="T249:U249"/>
    <mergeCell ref="T250:U250"/>
    <mergeCell ref="P216:R216"/>
    <mergeCell ref="C22:E22"/>
    <mergeCell ref="C88:E88"/>
    <mergeCell ref="C84:E85"/>
    <mergeCell ref="BT94:BU94"/>
    <mergeCell ref="BO65:BQ65"/>
    <mergeCell ref="BP81:BR81"/>
    <mergeCell ref="BT93:BU93"/>
    <mergeCell ref="BT95:BU95"/>
    <mergeCell ref="BT96:BU96"/>
    <mergeCell ref="R85:S85"/>
    <mergeCell ref="O26:R26"/>
    <mergeCell ref="O27:R27"/>
    <mergeCell ref="O30:R30"/>
    <mergeCell ref="BO31:BO32"/>
    <mergeCell ref="O31:R31"/>
    <mergeCell ref="O65:Q65"/>
    <mergeCell ref="O66:Q66"/>
    <mergeCell ref="O67:Q67"/>
    <mergeCell ref="R66:S66"/>
    <mergeCell ref="C86:E86"/>
    <mergeCell ref="C87:E87"/>
    <mergeCell ref="G74:H74"/>
    <mergeCell ref="F84:H84"/>
    <mergeCell ref="G85:H85"/>
    <mergeCell ref="C68:D69"/>
    <mergeCell ref="C70:D70"/>
    <mergeCell ref="C71:D71"/>
    <mergeCell ref="C72:D72"/>
    <mergeCell ref="C73:D73"/>
    <mergeCell ref="C74:D74"/>
    <mergeCell ref="C144:D144"/>
    <mergeCell ref="C136:D137"/>
    <mergeCell ref="C55:E56"/>
    <mergeCell ref="C57:E57"/>
    <mergeCell ref="C58:E58"/>
    <mergeCell ref="C59:E59"/>
    <mergeCell ref="C60:E60"/>
    <mergeCell ref="C61:E61"/>
    <mergeCell ref="C62:E62"/>
    <mergeCell ref="C63:E63"/>
    <mergeCell ref="BP75:BQ75"/>
    <mergeCell ref="C181:D181"/>
    <mergeCell ref="C182:D182"/>
    <mergeCell ref="F55:H55"/>
    <mergeCell ref="G56:H56"/>
    <mergeCell ref="G57:H57"/>
    <mergeCell ref="G58:H58"/>
    <mergeCell ref="G59:H59"/>
    <mergeCell ref="G60:H60"/>
    <mergeCell ref="G61:H61"/>
    <mergeCell ref="G62:H62"/>
    <mergeCell ref="G63:H63"/>
    <mergeCell ref="E68:H68"/>
    <mergeCell ref="G69:H69"/>
    <mergeCell ref="G70:H70"/>
    <mergeCell ref="G71:H71"/>
    <mergeCell ref="G72:H72"/>
    <mergeCell ref="G73:H73"/>
    <mergeCell ref="G138:H138"/>
    <mergeCell ref="G139:H139"/>
    <mergeCell ref="G140:H140"/>
    <mergeCell ref="G141:H141"/>
    <mergeCell ref="G142:H142"/>
    <mergeCell ref="G143:H143"/>
    <mergeCell ref="C233:D233"/>
    <mergeCell ref="C234:D234"/>
    <mergeCell ref="C235:D235"/>
    <mergeCell ref="C236:D236"/>
    <mergeCell ref="C237:D237"/>
    <mergeCell ref="C80:D80"/>
    <mergeCell ref="C117:D117"/>
    <mergeCell ref="C160:D160"/>
    <mergeCell ref="C207:D207"/>
    <mergeCell ref="C183:D183"/>
    <mergeCell ref="C184:D184"/>
    <mergeCell ref="C185:D185"/>
    <mergeCell ref="C186:D186"/>
    <mergeCell ref="C187:D187"/>
    <mergeCell ref="C188:D188"/>
    <mergeCell ref="C230:D230"/>
    <mergeCell ref="C231:D231"/>
    <mergeCell ref="C232:D232"/>
    <mergeCell ref="C138:D138"/>
    <mergeCell ref="C139:D139"/>
    <mergeCell ref="C140:D140"/>
    <mergeCell ref="C141:D141"/>
    <mergeCell ref="C142:D142"/>
    <mergeCell ref="C143:D143"/>
    <mergeCell ref="G183:H183"/>
    <mergeCell ref="G184:H184"/>
    <mergeCell ref="G185:H185"/>
    <mergeCell ref="G186:H186"/>
    <mergeCell ref="G187:H187"/>
    <mergeCell ref="G188:H188"/>
    <mergeCell ref="G230:H230"/>
    <mergeCell ref="G231:H231"/>
    <mergeCell ref="G232:H232"/>
  </mergeCells>
  <conditionalFormatting sqref="K26">
    <cfRule type="expression" dxfId="46" priority="97">
      <formula>#REF!&lt;#REF!</formula>
    </cfRule>
  </conditionalFormatting>
  <conditionalFormatting sqref="L173:U176">
    <cfRule type="expression" dxfId="45" priority="92">
      <formula>#REF!="prismático"</formula>
    </cfRule>
  </conditionalFormatting>
  <conditionalFormatting sqref="K248:T253 K245:N245 Q246:S246 Q245 S245:T245 K228:U232 L226:U227 K244:U244 K233:N241 P233:R241 K246:M247 O247:S247 N256 K242:R243 S233:T242 S243 N264:N265">
    <cfRule type="expression" dxfId="44" priority="63">
      <formula>$S$168="sumidouro"</formula>
    </cfRule>
  </conditionalFormatting>
  <conditionalFormatting sqref="N248:N251">
    <cfRule type="expression" dxfId="43" priority="69">
      <formula>$P$138="sumidouro"</formula>
    </cfRule>
  </conditionalFormatting>
  <conditionalFormatting sqref="N248">
    <cfRule type="expression" dxfId="42" priority="68">
      <formula>$P$138="sumidouro"</formula>
    </cfRule>
  </conditionalFormatting>
  <conditionalFormatting sqref="N252">
    <cfRule type="expression" dxfId="41" priority="67">
      <formula>$P$138="sumidouro"</formula>
    </cfRule>
  </conditionalFormatting>
  <conditionalFormatting sqref="N252">
    <cfRule type="expression" dxfId="40" priority="66">
      <formula>$P$138="sumidouro"</formula>
    </cfRule>
  </conditionalFormatting>
  <conditionalFormatting sqref="N253">
    <cfRule type="expression" dxfId="39" priority="65">
      <formula>$P$138="sumidouro"</formula>
    </cfRule>
  </conditionalFormatting>
  <conditionalFormatting sqref="N253">
    <cfRule type="expression" dxfId="38" priority="64">
      <formula>$P$138="sumidouro"</formula>
    </cfRule>
  </conditionalFormatting>
  <conditionalFormatting sqref="L219:U225">
    <cfRule type="expression" dxfId="37" priority="62">
      <formula>$S$168="sumidouro"</formula>
    </cfRule>
  </conditionalFormatting>
  <conditionalFormatting sqref="O233:O241">
    <cfRule type="expression" dxfId="36" priority="61">
      <formula>$S$168="sumidouro"</formula>
    </cfRule>
  </conditionalFormatting>
  <conditionalFormatting sqref="N254">
    <cfRule type="expression" dxfId="35" priority="60">
      <formula>$S$168="sumidouro"</formula>
    </cfRule>
  </conditionalFormatting>
  <conditionalFormatting sqref="N247">
    <cfRule type="expression" dxfId="34" priority="59">
      <formula>$P$138="sumidouro"</formula>
    </cfRule>
  </conditionalFormatting>
  <conditionalFormatting sqref="N247">
    <cfRule type="expression" dxfId="33" priority="58">
      <formula>$S$168="sumidouro"</formula>
    </cfRule>
  </conditionalFormatting>
  <conditionalFormatting sqref="CB72:CB74 BU78:BU79">
    <cfRule type="expression" dxfId="32" priority="54">
      <formula>#REF!&lt;#REF!</formula>
    </cfRule>
  </conditionalFormatting>
  <conditionalFormatting sqref="CB19:CB20">
    <cfRule type="expression" dxfId="31" priority="53">
      <formula>#REF!&lt;#REF!</formula>
    </cfRule>
  </conditionalFormatting>
  <conditionalFormatting sqref="L132:U134">
    <cfRule type="expression" dxfId="30" priority="101">
      <formula>$R$126="cilíndrico"</formula>
    </cfRule>
  </conditionalFormatting>
  <conditionalFormatting sqref="L91:U93">
    <cfRule type="expression" dxfId="29" priority="102">
      <formula>$R$85="cilíndrico"</formula>
    </cfRule>
  </conditionalFormatting>
  <conditionalFormatting sqref="L88:U89">
    <cfRule type="expression" dxfId="28" priority="18">
      <formula>$R$85="Prismático"</formula>
    </cfRule>
    <cfRule type="expression" dxfId="27" priority="103">
      <formula>$O$85="Prismático"</formula>
    </cfRule>
  </conditionalFormatting>
  <conditionalFormatting sqref="R178:U178">
    <cfRule type="expression" dxfId="26" priority="27">
      <formula>$Q$177="não"</formula>
    </cfRule>
  </conditionalFormatting>
  <conditionalFormatting sqref="L129:U130">
    <cfRule type="expression" dxfId="25" priority="16">
      <formula>$R$126="Prismático"</formula>
    </cfRule>
  </conditionalFormatting>
  <conditionalFormatting sqref="S163:S164 Q181">
    <cfRule type="expression" dxfId="24" priority="181">
      <formula>$R$157&lt;&gt;"sumidouro"</formula>
    </cfRule>
  </conditionalFormatting>
  <conditionalFormatting sqref="K209 K247:S247 K206:U206 K210:U211 K248:U254 U213 K218:U218 U216 K219:V232 K216:K217 U217:V217 S257:V260 K256:V256 K255:M255 O255:V255 O261:V262 K257:M263 K265:V267 K208:U208 K207:O207 Q207:U207 K244:V246 V218:V254 K233:T242 O209 Q209:U209 K243:S243 K264:S264 V263:V264 K214:U215 V206:V216 K212:Q213">
    <cfRule type="expression" dxfId="23" priority="183">
      <formula>$R$157="sumidouro"</formula>
    </cfRule>
  </conditionalFormatting>
  <conditionalFormatting sqref="T247:U247">
    <cfRule type="expression" dxfId="22" priority="209">
      <formula>$R$157="sumidouro"</formula>
    </cfRule>
    <cfRule type="expression" dxfId="21" priority="210">
      <formula>$S$168="sumidouro"</formula>
    </cfRule>
  </conditionalFormatting>
  <conditionalFormatting sqref="Q180">
    <cfRule type="expression" dxfId="20" priority="211" stopIfTrue="1">
      <formula>$R$157&lt;&gt;"sumidouro"</formula>
    </cfRule>
  </conditionalFormatting>
  <conditionalFormatting sqref="K159:V159 K161:V165 K160:O160 Q160:V160 K182:V200 K181:S181 U181:V181 K203:V204 K201:M202 V201 T202:V202 K166:Q167 V166:V167 K168:V180">
    <cfRule type="expression" dxfId="19" priority="212">
      <formula>$R$157="Vala de infiltração"</formula>
    </cfRule>
  </conditionalFormatting>
  <conditionalFormatting sqref="T167:U167 R167">
    <cfRule type="expression" dxfId="18" priority="216">
      <formula>$R$157="Vala de infiltração"</formula>
    </cfRule>
  </conditionalFormatting>
  <conditionalFormatting sqref="K206:V206 K217:V232 K216:P216 S216:V216 K208:V208 K207:O207 Q207:V207 K244:V262 V233:V243 K233:T242 K209:O209 Q209:V209 K243:S243 K263:N263 P263:S263 V263 K264:V267 K210:V211 K212:Q212 V212 K213:V215">
    <cfRule type="expression" dxfId="17" priority="217">
      <formula>$R$157="Sumidouro"</formula>
    </cfRule>
  </conditionalFormatting>
  <conditionalFormatting sqref="S167">
    <cfRule type="expression" dxfId="16" priority="15">
      <formula>$R$157="Vala de infiltração"</formula>
    </cfRule>
  </conditionalFormatting>
  <conditionalFormatting sqref="K49:V55 K57:V76 P56:V56 K56:N56 K209:O209 Q209:V209 K78:V111 K77:P77 R77:V77 K182:V200 K181:S181 U181:V181 K244:V262 K243:S243 U243:V243 K119 M119:V119 K263:N263 P263:S263 V263 K264:V267 K203:V208 K201:M202 V201 T202:V202 K120:V152 V153 K114:V118 K112:M113 P112:S112 V112 P113:V113 O153:S153 K153:M154 O154:V154 K155:V165 K166:Q166 V166 K167:V180 K210:V211 K212:Q212 V212 K213:V242">
    <cfRule type="expression" dxfId="15" priority="14">
      <formula>$U$46&gt;12000</formula>
    </cfRule>
  </conditionalFormatting>
  <conditionalFormatting sqref="BP74">
    <cfRule type="expression" dxfId="14" priority="13">
      <formula>$U$46&gt;12000</formula>
    </cfRule>
  </conditionalFormatting>
  <conditionalFormatting sqref="BP75:BQ75">
    <cfRule type="expression" dxfId="13" priority="12">
      <formula>$U$46&gt;12000</formula>
    </cfRule>
  </conditionalFormatting>
  <conditionalFormatting sqref="S243:U243">
    <cfRule type="expression" dxfId="12" priority="11">
      <formula>$R$157="sumidouro"</formula>
    </cfRule>
  </conditionalFormatting>
  <conditionalFormatting sqref="Q77:R77">
    <cfRule type="expression" dxfId="11" priority="9">
      <formula>$U$46&gt;12000</formula>
    </cfRule>
  </conditionalFormatting>
  <conditionalFormatting sqref="O112:O113">
    <cfRule type="expression" dxfId="10" priority="4">
      <formula>$U$46&gt;12000</formula>
    </cfRule>
  </conditionalFormatting>
  <conditionalFormatting sqref="O201:S202">
    <cfRule type="expression" dxfId="9" priority="3">
      <formula>$R$157&lt;&gt;"Sumidouro"</formula>
    </cfRule>
  </conditionalFormatting>
  <conditionalFormatting sqref="R177:U177">
    <cfRule type="expression" dxfId="8" priority="2">
      <formula>$Q$177="não"</formula>
    </cfRule>
  </conditionalFormatting>
  <conditionalFormatting sqref="S177:U177">
    <cfRule type="expression" dxfId="7" priority="1">
      <formula>$Q$177="não"</formula>
    </cfRule>
  </conditionalFormatting>
  <dataValidations count="12">
    <dataValidation type="list" allowBlank="1" showInputMessage="1" showErrorMessage="1" sqref="X111:BJ114">
      <formula1>$BL$102:$BL$103</formula1>
    </dataValidation>
    <dataValidation type="list" allowBlank="1" showInputMessage="1" showErrorMessage="1" sqref="S243 S181">
      <formula1>$BL$132:$BL$134</formula1>
    </dataValidation>
    <dataValidation type="list" allowBlank="1" showInputMessage="1" showErrorMessage="1" sqref="Q86:Q88">
      <formula1>$BL$58:$BL$59</formula1>
    </dataValidation>
    <dataValidation type="list" allowBlank="1" showInputMessage="1" showErrorMessage="1" sqref="R157">
      <formula1>$BO$156:$BO$157</formula1>
    </dataValidation>
    <dataValidation type="list" allowBlank="1" showInputMessage="1" showErrorMessage="1" sqref="O67">
      <formula1>$BO$31:$BO$37</formula1>
    </dataValidation>
    <dataValidation type="list" allowBlank="1" showInputMessage="1" showErrorMessage="1" sqref="R85 P127:Q129 R126">
      <formula1>$BL$84:$BL$85</formula1>
    </dataValidation>
    <dataValidation type="list" allowBlank="1" showInputMessage="1" showErrorMessage="1" sqref="Q177 U113 U154 U264 U202">
      <formula1>$BL$110:$BL$111</formula1>
    </dataValidation>
    <dataValidation type="list" allowBlank="1" showInputMessage="1" showErrorMessage="1" sqref="P62:P63 Q62">
      <formula1>$CA$49:$CA$55</formula1>
    </dataValidation>
    <dataValidation type="list" allowBlank="1" showInputMessage="1" showErrorMessage="1" sqref="G13">
      <formula1>$BL$13:$BL$15</formula1>
    </dataValidation>
    <dataValidation type="list" allowBlank="1" showInputMessage="1" showErrorMessage="1" sqref="P29:R29">
      <formula1>$BN$13:$BN$27</formula1>
    </dataValidation>
    <dataValidation type="list" allowBlank="1" showInputMessage="1" showErrorMessage="1" sqref="O31">
      <formula1>$BO$1:$BO$28</formula1>
    </dataValidation>
    <dataValidation type="list" allowBlank="1" showInputMessage="1" showErrorMessage="1" sqref="O27:R27">
      <formula1>$BO$3:$BO$28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17"/>
  <sheetViews>
    <sheetView showWhiteSpace="0" view="pageLayout" topLeftCell="A58" zoomScale="110" zoomScaleNormal="100" zoomScalePageLayoutView="110" workbookViewId="0">
      <selection activeCell="AE98" sqref="AE98"/>
    </sheetView>
  </sheetViews>
  <sheetFormatPr defaultRowHeight="15" x14ac:dyDescent="0.25"/>
  <cols>
    <col min="1" max="1" width="1.28515625" customWidth="1"/>
    <col min="2" max="2" width="1" style="117" customWidth="1"/>
    <col min="3" max="3" width="6.5703125" customWidth="1"/>
    <col min="4" max="4" width="6.7109375" customWidth="1"/>
    <col min="5" max="7" width="6.5703125" customWidth="1"/>
    <col min="8" max="8" width="6.140625" customWidth="1"/>
    <col min="9" max="10" width="2.140625" customWidth="1"/>
    <col min="11" max="11" width="2.28515625" customWidth="1"/>
    <col min="12" max="12" width="3.85546875" customWidth="1"/>
    <col min="13" max="13" width="6.140625" customWidth="1"/>
    <col min="14" max="14" width="2.140625" customWidth="1"/>
    <col min="15" max="15" width="5" customWidth="1"/>
    <col min="16" max="16" width="4.28515625" customWidth="1"/>
    <col min="17" max="17" width="3.28515625" customWidth="1"/>
    <col min="18" max="18" width="2.85546875" customWidth="1"/>
    <col min="19" max="19" width="3.140625" customWidth="1"/>
    <col min="20" max="20" width="2.5703125" customWidth="1"/>
    <col min="21" max="21" width="2.85546875" customWidth="1"/>
    <col min="22" max="22" width="2.42578125" customWidth="1"/>
    <col min="23" max="24" width="2.28515625" customWidth="1"/>
    <col min="25" max="25" width="1" customWidth="1"/>
    <col min="26" max="26" width="3.5703125" customWidth="1"/>
    <col min="27" max="27" width="1" customWidth="1"/>
  </cols>
  <sheetData>
    <row r="1" spans="1:31" ht="19.5" customHeight="1" x14ac:dyDescent="0.25">
      <c r="A1" s="179"/>
      <c r="B1" s="1093" t="s">
        <v>128</v>
      </c>
      <c r="C1" s="1093"/>
      <c r="D1" s="1093"/>
      <c r="E1" s="1093"/>
      <c r="F1" s="1093"/>
      <c r="G1" s="1093"/>
      <c r="H1" s="1093"/>
      <c r="I1" s="1093"/>
      <c r="J1" s="1093"/>
      <c r="K1" s="1093"/>
      <c r="L1" s="1093"/>
      <c r="M1" s="1093"/>
      <c r="N1" s="1093"/>
      <c r="O1" s="1093"/>
      <c r="P1" s="1093"/>
      <c r="Q1" s="1093"/>
      <c r="R1" s="1093"/>
      <c r="S1" s="1093"/>
      <c r="T1" s="1093"/>
      <c r="U1" s="1093"/>
      <c r="V1" s="1093"/>
      <c r="W1" s="1093"/>
      <c r="X1" s="1093"/>
      <c r="Y1" s="179"/>
    </row>
    <row r="2" spans="1:31" ht="4.5" customHeight="1" x14ac:dyDescent="0.25">
      <c r="A2" s="179"/>
      <c r="B2" s="180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</row>
    <row r="3" spans="1:31" ht="18" customHeight="1" x14ac:dyDescent="0.25">
      <c r="A3" s="179"/>
      <c r="B3" s="418" t="s">
        <v>129</v>
      </c>
      <c r="C3" s="592"/>
      <c r="D3" s="592"/>
      <c r="E3" s="592"/>
      <c r="F3" s="592"/>
      <c r="G3" s="592"/>
      <c r="I3" s="418"/>
      <c r="J3" s="418" t="s">
        <v>304</v>
      </c>
      <c r="K3" s="418"/>
      <c r="L3" s="181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</row>
    <row r="4" spans="1:31" ht="4.5" customHeight="1" x14ac:dyDescent="0.25">
      <c r="A4" s="179"/>
      <c r="B4" s="181"/>
      <c r="C4" s="182"/>
      <c r="D4" s="182"/>
      <c r="E4" s="182"/>
      <c r="F4" s="182"/>
      <c r="G4" s="182"/>
      <c r="H4" s="182"/>
      <c r="I4" s="182"/>
      <c r="J4" s="183"/>
      <c r="K4" s="183"/>
      <c r="L4" s="183"/>
      <c r="M4" s="183"/>
      <c r="N4" s="183"/>
      <c r="O4" s="183"/>
      <c r="P4" s="183"/>
      <c r="Q4" s="182"/>
      <c r="R4" s="183"/>
      <c r="S4" s="182"/>
      <c r="T4" s="182"/>
      <c r="U4" s="182"/>
      <c r="V4" s="182"/>
      <c r="W4" s="182"/>
      <c r="X4" s="184"/>
      <c r="Y4" s="182"/>
    </row>
    <row r="5" spans="1:31" ht="6" customHeight="1" x14ac:dyDescent="0.25">
      <c r="A5" s="179"/>
      <c r="B5" s="185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7"/>
      <c r="Z5" s="22"/>
    </row>
    <row r="6" spans="1:31" ht="25.5" customHeight="1" x14ac:dyDescent="0.25">
      <c r="A6" s="179"/>
      <c r="B6" s="188"/>
      <c r="C6" s="303" t="str">
        <f>IF(Dados!U46&gt;12000,"O sistema não suporta vazão &gt; 12000l/dia","Dados do Projeto")</f>
        <v>Dados do Projeto</v>
      </c>
      <c r="D6" s="715"/>
      <c r="E6" s="715"/>
      <c r="F6" s="715"/>
      <c r="G6" s="716"/>
      <c r="H6" s="716"/>
      <c r="I6" s="1113" t="str">
        <f>Dados!O27</f>
        <v>Resid. Padrão Alto</v>
      </c>
      <c r="J6" s="1113"/>
      <c r="K6" s="1113"/>
      <c r="L6" s="1113"/>
      <c r="M6" s="1113"/>
      <c r="N6" s="1113"/>
      <c r="O6" s="1113"/>
      <c r="P6" s="194"/>
      <c r="Q6" s="1113" t="str">
        <f>Dados!O31</f>
        <v>Não há outra contribuição</v>
      </c>
      <c r="R6" s="1113"/>
      <c r="S6" s="1113"/>
      <c r="T6" s="1113"/>
      <c r="U6" s="1113"/>
      <c r="V6" s="1113"/>
      <c r="W6" s="1113"/>
      <c r="X6" s="1113"/>
      <c r="Y6" s="189"/>
      <c r="Z6" s="22"/>
    </row>
    <row r="7" spans="1:31" ht="4.5" customHeight="1" x14ac:dyDescent="0.25">
      <c r="A7" s="179"/>
      <c r="B7" s="141"/>
      <c r="C7" s="158"/>
      <c r="D7" s="190"/>
      <c r="E7" s="190"/>
      <c r="F7" s="190"/>
      <c r="G7" s="191"/>
      <c r="H7" s="191"/>
      <c r="I7" s="190"/>
      <c r="J7" s="191"/>
      <c r="K7" s="191"/>
      <c r="L7" s="191"/>
      <c r="M7" s="191"/>
      <c r="N7" s="158"/>
      <c r="O7" s="158"/>
      <c r="P7" s="158"/>
      <c r="Q7" s="155"/>
      <c r="R7" s="191"/>
      <c r="S7" s="191"/>
      <c r="T7" s="191"/>
      <c r="U7" s="191"/>
      <c r="V7" s="158"/>
      <c r="W7" s="158"/>
      <c r="X7" s="158"/>
      <c r="Y7" s="192"/>
      <c r="Z7" s="22"/>
    </row>
    <row r="8" spans="1:31" ht="13.5" customHeight="1" x14ac:dyDescent="0.25">
      <c r="A8" s="183"/>
      <c r="B8" s="141"/>
      <c r="C8" s="193" t="s">
        <v>131</v>
      </c>
      <c r="D8" s="194"/>
      <c r="E8" s="194"/>
      <c r="F8" s="194"/>
      <c r="G8" s="193"/>
      <c r="H8" s="193"/>
      <c r="I8" s="193"/>
      <c r="J8" s="179"/>
      <c r="K8" s="1117">
        <f>Dados!U27</f>
        <v>160</v>
      </c>
      <c r="L8" s="1115"/>
      <c r="M8" s="1116"/>
      <c r="N8" s="178" t="str">
        <f>Dados!T27</f>
        <v>litros/pessoa</v>
      </c>
      <c r="O8" s="178"/>
      <c r="P8" s="179"/>
      <c r="Q8" s="1117">
        <f>Dados!U31</f>
        <v>0</v>
      </c>
      <c r="R8" s="1115"/>
      <c r="S8" s="1115"/>
      <c r="T8" s="1116"/>
      <c r="U8" s="178" t="str">
        <f>Dados!T31</f>
        <v>litros/pessoa</v>
      </c>
      <c r="V8" s="178"/>
      <c r="W8" s="178"/>
      <c r="X8" s="178"/>
      <c r="Y8" s="192"/>
      <c r="Z8" s="22"/>
    </row>
    <row r="9" spans="1:31" ht="5.25" customHeight="1" x14ac:dyDescent="0.25">
      <c r="A9" s="195"/>
      <c r="B9" s="141"/>
      <c r="C9" s="196"/>
      <c r="D9" s="196"/>
      <c r="E9" s="196"/>
      <c r="F9" s="196"/>
      <c r="G9" s="196"/>
      <c r="H9" s="196"/>
      <c r="I9" s="196"/>
      <c r="J9" s="191"/>
      <c r="K9" s="191"/>
      <c r="M9" s="155"/>
      <c r="N9" s="178"/>
      <c r="O9" s="178"/>
      <c r="P9" s="179"/>
      <c r="Q9" s="155"/>
      <c r="R9" s="191"/>
      <c r="S9" s="179"/>
      <c r="T9" s="179"/>
      <c r="U9" s="178"/>
      <c r="V9" s="178"/>
      <c r="W9" s="178"/>
      <c r="X9" s="178"/>
      <c r="Y9" s="197"/>
      <c r="Z9" s="22"/>
    </row>
    <row r="10" spans="1:31" ht="13.5" customHeight="1" x14ac:dyDescent="0.25">
      <c r="A10" s="195"/>
      <c r="B10" s="141"/>
      <c r="C10" s="193" t="s">
        <v>122</v>
      </c>
      <c r="D10" s="194"/>
      <c r="E10" s="194"/>
      <c r="F10" s="194"/>
      <c r="G10" s="194"/>
      <c r="H10" s="194"/>
      <c r="I10" s="194"/>
      <c r="J10" s="179"/>
      <c r="K10" s="1117">
        <f>Dados!U36</f>
        <v>5</v>
      </c>
      <c r="L10" s="1115"/>
      <c r="M10" s="1116"/>
      <c r="N10" s="178" t="str">
        <f>Dados!T36</f>
        <v>pessoas</v>
      </c>
      <c r="O10" s="178"/>
      <c r="P10" s="179"/>
      <c r="Q10" s="1117">
        <f>IF(Q8=0,0,Dados!U38)</f>
        <v>0</v>
      </c>
      <c r="R10" s="1115"/>
      <c r="S10" s="1115"/>
      <c r="T10" s="1116"/>
      <c r="U10" s="178" t="str">
        <f>Dados!T38</f>
        <v>pessoas</v>
      </c>
      <c r="V10" s="178"/>
      <c r="W10" s="178"/>
      <c r="X10" s="178"/>
      <c r="Y10" s="192"/>
      <c r="Z10" s="22"/>
    </row>
    <row r="11" spans="1:31" ht="4.5" customHeight="1" x14ac:dyDescent="0.25">
      <c r="A11" s="195"/>
      <c r="B11" s="141"/>
      <c r="C11" s="193"/>
      <c r="D11" s="194"/>
      <c r="E11" s="194"/>
      <c r="F11" s="194"/>
      <c r="G11" s="198"/>
      <c r="H11" s="198"/>
      <c r="I11" s="194"/>
      <c r="J11" s="191"/>
      <c r="K11" s="191"/>
      <c r="M11" s="155"/>
      <c r="N11" s="178"/>
      <c r="O11" s="178"/>
      <c r="P11" s="179"/>
      <c r="Q11" s="155"/>
      <c r="R11" s="191"/>
      <c r="S11" s="179"/>
      <c r="T11" s="179"/>
      <c r="U11" s="178"/>
      <c r="V11" s="178"/>
      <c r="W11" s="178"/>
      <c r="X11" s="178"/>
      <c r="Y11" s="197"/>
      <c r="Z11" s="22"/>
    </row>
    <row r="12" spans="1:31" ht="13.5" customHeight="1" x14ac:dyDescent="0.25">
      <c r="A12" s="183"/>
      <c r="B12" s="141"/>
      <c r="C12" s="193" t="s">
        <v>132</v>
      </c>
      <c r="D12" s="194"/>
      <c r="E12" s="194"/>
      <c r="F12" s="194"/>
      <c r="G12" s="199"/>
      <c r="H12" s="199"/>
      <c r="I12" s="200"/>
      <c r="J12" s="183"/>
      <c r="K12" s="1094">
        <f>Dados!U42</f>
        <v>800</v>
      </c>
      <c r="L12" s="1095"/>
      <c r="M12" s="1096"/>
      <c r="N12" s="178" t="str">
        <f>Dados!T46</f>
        <v>litros/dia</v>
      </c>
      <c r="O12" s="178"/>
      <c r="P12" s="179"/>
      <c r="Q12" s="1094">
        <f>Dados!U44</f>
        <v>0</v>
      </c>
      <c r="R12" s="1095"/>
      <c r="S12" s="1095"/>
      <c r="T12" s="1096"/>
      <c r="U12" s="178" t="str">
        <f>Dados!T44</f>
        <v>litros/dia</v>
      </c>
      <c r="V12" s="178"/>
      <c r="W12" s="178"/>
      <c r="X12" s="178"/>
      <c r="Y12" s="202"/>
      <c r="Z12" s="22"/>
    </row>
    <row r="13" spans="1:31" ht="4.5" customHeight="1" x14ac:dyDescent="0.25">
      <c r="A13" s="179"/>
      <c r="B13" s="141"/>
      <c r="C13" s="193"/>
      <c r="D13" s="194"/>
      <c r="E13" s="194"/>
      <c r="F13" s="194"/>
      <c r="G13" s="198"/>
      <c r="H13" s="198"/>
      <c r="I13" s="194"/>
      <c r="J13" s="158"/>
      <c r="K13" s="191"/>
      <c r="M13" s="155"/>
      <c r="N13" s="178"/>
      <c r="O13" s="178"/>
      <c r="P13" s="179"/>
      <c r="Q13" s="155"/>
      <c r="R13" s="191"/>
      <c r="S13" s="179"/>
      <c r="T13" s="179"/>
      <c r="U13" s="178"/>
      <c r="V13" s="178"/>
      <c r="W13" s="178"/>
      <c r="X13" s="178"/>
      <c r="Y13" s="197"/>
      <c r="Z13" s="22"/>
      <c r="AC13" s="120"/>
      <c r="AD13" s="22"/>
      <c r="AE13" s="22"/>
    </row>
    <row r="14" spans="1:31" ht="13.5" customHeight="1" x14ac:dyDescent="0.25">
      <c r="A14" s="179"/>
      <c r="B14" s="141"/>
      <c r="C14" s="193" t="s">
        <v>123</v>
      </c>
      <c r="D14" s="194"/>
      <c r="E14" s="194"/>
      <c r="F14" s="194"/>
      <c r="G14" s="199"/>
      <c r="H14" s="199"/>
      <c r="I14" s="200"/>
      <c r="J14" s="179"/>
      <c r="K14" s="1114">
        <f>Dados!U50</f>
        <v>1</v>
      </c>
      <c r="L14" s="1115"/>
      <c r="M14" s="1116"/>
      <c r="N14" s="178" t="str">
        <f>Dados!T50</f>
        <v>litros/dia</v>
      </c>
      <c r="O14" s="178"/>
      <c r="P14" s="179"/>
      <c r="Q14" s="1114">
        <f>Dados!U52</f>
        <v>0</v>
      </c>
      <c r="R14" s="1119"/>
      <c r="S14" s="1119"/>
      <c r="T14" s="1120"/>
      <c r="U14" s="178" t="str">
        <f>Dados!T52</f>
        <v>litros/dia</v>
      </c>
      <c r="V14" s="178"/>
      <c r="W14" s="178"/>
      <c r="X14" s="178"/>
      <c r="Y14" s="192"/>
      <c r="Z14" s="22"/>
    </row>
    <row r="15" spans="1:31" ht="4.5" customHeight="1" x14ac:dyDescent="0.25">
      <c r="A15" s="179"/>
      <c r="B15" s="141"/>
      <c r="C15" s="193"/>
      <c r="D15" s="194"/>
      <c r="E15" s="194"/>
      <c r="F15" s="194"/>
      <c r="G15" s="198"/>
      <c r="H15" s="198"/>
      <c r="I15" s="194"/>
      <c r="J15" s="158"/>
      <c r="K15" s="191"/>
      <c r="M15" s="155"/>
      <c r="N15" s="178"/>
      <c r="O15" s="178"/>
      <c r="P15" s="179"/>
      <c r="Q15" s="155"/>
      <c r="R15" s="191"/>
      <c r="S15" s="179"/>
      <c r="T15" s="179"/>
      <c r="U15" s="178"/>
      <c r="V15" s="178"/>
      <c r="W15" s="178"/>
      <c r="X15" s="178"/>
      <c r="Y15" s="197"/>
      <c r="Z15" s="22"/>
    </row>
    <row r="16" spans="1:31" ht="13.5" customHeight="1" x14ac:dyDescent="0.25">
      <c r="A16" s="179"/>
      <c r="B16" s="203"/>
      <c r="C16" s="204" t="s">
        <v>124</v>
      </c>
      <c r="D16" s="205"/>
      <c r="E16" s="205"/>
      <c r="F16" s="205"/>
      <c r="G16" s="199"/>
      <c r="H16" s="199"/>
      <c r="I16" s="200"/>
      <c r="J16" s="179"/>
      <c r="K16" s="1114">
        <f>Dados!U55</f>
        <v>1</v>
      </c>
      <c r="L16" s="1115"/>
      <c r="M16" s="1116"/>
      <c r="N16" s="178" t="s">
        <v>377</v>
      </c>
      <c r="O16" s="178"/>
      <c r="P16" s="179"/>
      <c r="Q16" s="1114">
        <f>IF(Q8=0,0,Dados!U55)</f>
        <v>0</v>
      </c>
      <c r="R16" s="1119"/>
      <c r="S16" s="1119"/>
      <c r="T16" s="1120"/>
      <c r="U16" s="178" t="s">
        <v>377</v>
      </c>
      <c r="V16" s="178"/>
      <c r="W16" s="178"/>
      <c r="X16" s="178"/>
      <c r="Y16" s="192"/>
      <c r="Z16" s="22"/>
    </row>
    <row r="17" spans="1:30" ht="4.5" customHeight="1" x14ac:dyDescent="0.25">
      <c r="A17" s="179"/>
      <c r="B17" s="141"/>
      <c r="C17" s="193"/>
      <c r="D17" s="194"/>
      <c r="E17" s="194"/>
      <c r="F17" s="194"/>
      <c r="G17" s="198"/>
      <c r="H17" s="198"/>
      <c r="I17" s="194"/>
      <c r="J17" s="191"/>
      <c r="K17" s="191"/>
      <c r="M17" s="155"/>
      <c r="N17" s="179"/>
      <c r="O17" s="179"/>
      <c r="P17" s="179"/>
      <c r="Q17" s="155"/>
      <c r="R17" s="191"/>
      <c r="S17" s="179"/>
      <c r="T17" s="179"/>
      <c r="U17" s="293"/>
      <c r="V17" s="293"/>
      <c r="W17" s="179"/>
      <c r="X17" s="179"/>
      <c r="Y17" s="197"/>
      <c r="Z17" s="22"/>
    </row>
    <row r="18" spans="1:30" ht="13.5" customHeight="1" x14ac:dyDescent="0.25">
      <c r="A18" s="179"/>
      <c r="B18" s="141"/>
      <c r="C18" s="193" t="s">
        <v>125</v>
      </c>
      <c r="D18" s="194"/>
      <c r="E18" s="194"/>
      <c r="F18" s="194"/>
      <c r="G18" s="206"/>
      <c r="H18" s="206"/>
      <c r="I18" s="200"/>
      <c r="J18" s="179"/>
      <c r="K18" s="1117">
        <f>Dados!U66</f>
        <v>105</v>
      </c>
      <c r="L18" s="1115"/>
      <c r="M18" s="1116"/>
      <c r="N18" s="179"/>
      <c r="O18" s="179"/>
      <c r="P18" s="179"/>
      <c r="Q18" s="1117">
        <f>IF(Q8=0,0,Dados!U66)</f>
        <v>0</v>
      </c>
      <c r="R18" s="1115"/>
      <c r="S18" s="1115"/>
      <c r="T18" s="1116"/>
      <c r="U18" s="293"/>
      <c r="V18" s="293"/>
      <c r="W18" s="179"/>
      <c r="X18" s="179"/>
      <c r="Y18" s="192"/>
      <c r="Z18" s="22"/>
    </row>
    <row r="19" spans="1:30" ht="6" customHeight="1" x14ac:dyDescent="0.25">
      <c r="A19" s="179"/>
      <c r="B19" s="207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208"/>
    </row>
    <row r="20" spans="1:30" ht="3" customHeight="1" x14ac:dyDescent="0.25">
      <c r="A20" s="179"/>
      <c r="B20" s="219"/>
      <c r="C20" s="219"/>
      <c r="D20" s="219"/>
      <c r="E20" s="219"/>
      <c r="F20" s="219"/>
      <c r="G20" s="219"/>
      <c r="H20" s="219"/>
      <c r="I20" s="219"/>
      <c r="J20" s="220"/>
      <c r="K20" s="220"/>
      <c r="L20" s="209"/>
      <c r="M20" s="209"/>
      <c r="N20" s="209"/>
      <c r="O20" s="209"/>
      <c r="P20" s="209"/>
      <c r="Q20" s="220"/>
      <c r="R20" s="220"/>
      <c r="S20" s="209"/>
      <c r="T20" s="209"/>
      <c r="U20" s="209"/>
      <c r="V20" s="209"/>
      <c r="W20" s="209"/>
      <c r="X20" s="209"/>
      <c r="Y20" s="357"/>
    </row>
    <row r="21" spans="1:30" ht="6.75" customHeight="1" x14ac:dyDescent="0.25">
      <c r="A21" s="179"/>
      <c r="B21" s="210"/>
      <c r="C21" s="211"/>
      <c r="D21" s="211"/>
      <c r="E21" s="211"/>
      <c r="F21" s="211"/>
      <c r="G21" s="211"/>
      <c r="H21" s="211"/>
      <c r="I21" s="211"/>
      <c r="J21" s="212"/>
      <c r="K21" s="212"/>
      <c r="L21" s="213"/>
      <c r="M21" s="213"/>
      <c r="N21" s="213"/>
      <c r="O21" s="213"/>
      <c r="P21" s="213"/>
      <c r="Q21" s="212"/>
      <c r="R21" s="212"/>
      <c r="S21" s="213"/>
      <c r="T21" s="213"/>
      <c r="U21" s="213"/>
      <c r="V21" s="213"/>
      <c r="W21" s="213"/>
      <c r="X21" s="213"/>
      <c r="Y21" s="214"/>
    </row>
    <row r="22" spans="1:30" ht="14.25" customHeight="1" x14ac:dyDescent="0.25">
      <c r="A22" s="179"/>
      <c r="B22" s="150"/>
      <c r="C22" s="418" t="s">
        <v>65</v>
      </c>
      <c r="D22" s="158"/>
      <c r="E22" s="215"/>
      <c r="F22" s="215"/>
      <c r="G22" s="158"/>
      <c r="H22" s="193" t="s">
        <v>126</v>
      </c>
      <c r="I22" s="193"/>
      <c r="J22" s="216"/>
      <c r="K22" s="216"/>
      <c r="L22" s="216"/>
      <c r="M22" s="1114" t="str">
        <f>Dados!R85</f>
        <v>Prismático</v>
      </c>
      <c r="N22" s="1119"/>
      <c r="O22" s="1119"/>
      <c r="P22" s="1120"/>
      <c r="Q22" s="217"/>
      <c r="R22" s="193"/>
      <c r="S22" s="193"/>
      <c r="T22" s="193"/>
      <c r="U22" s="209"/>
      <c r="V22" s="209"/>
      <c r="W22" s="209"/>
      <c r="X22" s="209"/>
      <c r="Y22" s="218"/>
    </row>
    <row r="23" spans="1:30" ht="4.5" customHeight="1" x14ac:dyDescent="0.25">
      <c r="A23" s="179"/>
      <c r="B23" s="150"/>
      <c r="C23" s="153"/>
      <c r="D23" s="158"/>
      <c r="E23" s="158"/>
      <c r="F23" s="158"/>
      <c r="G23" s="158"/>
      <c r="H23" s="158"/>
      <c r="I23" s="219"/>
      <c r="J23" s="220"/>
      <c r="K23" s="220"/>
      <c r="L23" s="217"/>
      <c r="M23" s="217"/>
      <c r="N23" s="217"/>
      <c r="O23" s="200"/>
      <c r="P23" s="193"/>
      <c r="Q23" s="193"/>
      <c r="R23" s="193"/>
      <c r="S23" s="193"/>
      <c r="T23" s="193"/>
      <c r="U23" s="209"/>
      <c r="V23" s="209"/>
      <c r="W23" s="209"/>
      <c r="X23" s="209"/>
      <c r="Y23" s="218"/>
    </row>
    <row r="24" spans="1:30" ht="13.5" customHeight="1" x14ac:dyDescent="0.25">
      <c r="A24" s="179"/>
      <c r="B24" s="150"/>
      <c r="C24" s="217"/>
      <c r="D24" s="158"/>
      <c r="E24" s="158"/>
      <c r="F24" s="158"/>
      <c r="G24" s="217"/>
      <c r="H24" s="217" t="s">
        <v>133</v>
      </c>
      <c r="I24" s="217"/>
      <c r="J24" s="217"/>
      <c r="K24" s="217"/>
      <c r="L24" s="221"/>
      <c r="M24" s="1094">
        <f>Dados!U82</f>
        <v>2325</v>
      </c>
      <c r="N24" s="1095"/>
      <c r="O24" s="1095"/>
      <c r="P24" s="1096"/>
      <c r="Q24" s="193"/>
      <c r="R24" s="193"/>
      <c r="S24" s="193"/>
      <c r="T24" s="193"/>
      <c r="U24" s="193"/>
      <c r="V24" s="295"/>
      <c r="W24" s="295"/>
      <c r="X24" s="295"/>
      <c r="Y24" s="218"/>
    </row>
    <row r="25" spans="1:30" ht="5.25" customHeight="1" x14ac:dyDescent="0.25">
      <c r="A25" s="179"/>
      <c r="B25" s="150"/>
      <c r="C25" s="158"/>
      <c r="D25" s="158"/>
      <c r="E25" s="158"/>
      <c r="F25" s="158"/>
      <c r="G25" s="158"/>
      <c r="H25" s="158"/>
      <c r="I25" s="222"/>
      <c r="J25" s="223"/>
      <c r="K25" s="223"/>
      <c r="L25" s="217"/>
      <c r="M25" s="193"/>
      <c r="N25" s="193"/>
      <c r="O25" s="194"/>
      <c r="P25" s="217"/>
      <c r="Q25" s="217"/>
      <c r="R25" s="217"/>
      <c r="S25" s="193"/>
      <c r="T25" s="193"/>
      <c r="U25" s="209"/>
      <c r="V25" s="209"/>
      <c r="W25" s="209"/>
      <c r="X25" s="209"/>
      <c r="Y25" s="218"/>
      <c r="AA25" s="22"/>
    </row>
    <row r="26" spans="1:30" ht="12.75" customHeight="1" x14ac:dyDescent="0.25">
      <c r="A26" s="179"/>
      <c r="B26" s="549"/>
      <c r="C26" s="1129" t="s">
        <v>72</v>
      </c>
      <c r="D26" s="1129"/>
      <c r="E26" s="1129"/>
      <c r="F26" s="1129"/>
      <c r="G26" s="1129"/>
      <c r="H26" s="1129" t="s">
        <v>73</v>
      </c>
      <c r="I26" s="1129"/>
      <c r="J26" s="1129"/>
      <c r="K26" s="1129"/>
      <c r="L26" s="1129"/>
      <c r="M26" s="1129"/>
      <c r="N26" s="1129"/>
      <c r="O26" s="1202" t="s">
        <v>34</v>
      </c>
      <c r="P26" s="1202"/>
      <c r="Q26" s="1202"/>
      <c r="R26" s="1202" t="s">
        <v>90</v>
      </c>
      <c r="S26" s="1202"/>
      <c r="T26" s="1202"/>
      <c r="U26" s="1202"/>
      <c r="V26" s="1202"/>
      <c r="W26" s="1202"/>
      <c r="X26" s="1202"/>
      <c r="Y26" s="218"/>
      <c r="AA26" s="22"/>
    </row>
    <row r="27" spans="1:30" ht="13.5" customHeight="1" x14ac:dyDescent="0.25">
      <c r="A27" s="179"/>
      <c r="B27" s="546"/>
      <c r="C27" s="1129"/>
      <c r="D27" s="1129"/>
      <c r="E27" s="1129"/>
      <c r="F27" s="1129"/>
      <c r="G27" s="1129"/>
      <c r="H27" s="1133" t="s">
        <v>75</v>
      </c>
      <c r="I27" s="1133"/>
      <c r="J27" s="1133"/>
      <c r="K27" s="1133"/>
      <c r="L27" s="1133" t="s">
        <v>76</v>
      </c>
      <c r="M27" s="1133"/>
      <c r="N27" s="1133"/>
      <c r="O27" s="1202"/>
      <c r="P27" s="1202"/>
      <c r="Q27" s="1202"/>
      <c r="R27" s="1202"/>
      <c r="S27" s="1202"/>
      <c r="T27" s="1202"/>
      <c r="U27" s="1202"/>
      <c r="V27" s="1202"/>
      <c r="W27" s="1202"/>
      <c r="X27" s="1202"/>
      <c r="Y27" s="218"/>
      <c r="AA27" s="22"/>
    </row>
    <row r="28" spans="1:30" ht="16.5" customHeight="1" x14ac:dyDescent="0.25">
      <c r="A28" s="179"/>
      <c r="B28" s="141"/>
      <c r="C28" s="1130" t="s">
        <v>91</v>
      </c>
      <c r="D28" s="1131"/>
      <c r="E28" s="1131"/>
      <c r="F28" s="1131"/>
      <c r="G28" s="1132"/>
      <c r="H28" s="1122" t="str">
        <f>Dados!Q97</f>
        <v>----</v>
      </c>
      <c r="I28" s="1123"/>
      <c r="J28" s="1123"/>
      <c r="K28" s="1123"/>
      <c r="L28" s="1124" t="str">
        <f>Dados!R97</f>
        <v>----</v>
      </c>
      <c r="M28" s="1124"/>
      <c r="N28" s="1124"/>
      <c r="O28" s="1125" t="str">
        <f>Dados!S97</f>
        <v>-----</v>
      </c>
      <c r="P28" s="1125"/>
      <c r="Q28" s="1125"/>
      <c r="R28" s="1125" t="str">
        <f>Dados!T97</f>
        <v>----</v>
      </c>
      <c r="S28" s="1125"/>
      <c r="T28" s="1125"/>
      <c r="U28" s="1125"/>
      <c r="V28" s="1125"/>
      <c r="W28" s="1125"/>
      <c r="X28" s="1125"/>
      <c r="Y28" s="197"/>
      <c r="AA28" s="22"/>
    </row>
    <row r="29" spans="1:30" ht="15" customHeight="1" x14ac:dyDescent="0.25">
      <c r="A29" s="179"/>
      <c r="B29" s="141"/>
      <c r="C29" s="226" t="s">
        <v>93</v>
      </c>
      <c r="D29" s="227"/>
      <c r="E29" s="228"/>
      <c r="F29" s="228"/>
      <c r="G29" s="229"/>
      <c r="H29" s="1122">
        <f>Dados!Q98</f>
        <v>0.8</v>
      </c>
      <c r="I29" s="1123"/>
      <c r="J29" s="1123"/>
      <c r="K29" s="1123"/>
      <c r="L29" s="1124" t="str">
        <f>Dados!R98</f>
        <v>----</v>
      </c>
      <c r="M29" s="1124"/>
      <c r="N29" s="1124"/>
      <c r="O29" s="1125">
        <f>Dados!S98</f>
        <v>1</v>
      </c>
      <c r="P29" s="1125"/>
      <c r="Q29" s="1125"/>
      <c r="R29" s="1125" t="str">
        <f>Dados!T98</f>
        <v>Atende</v>
      </c>
      <c r="S29" s="1125"/>
      <c r="T29" s="1125"/>
      <c r="U29" s="1125"/>
      <c r="V29" s="1125"/>
      <c r="W29" s="1125"/>
      <c r="X29" s="1125"/>
      <c r="Y29" s="151"/>
      <c r="AA29" s="22"/>
    </row>
    <row r="30" spans="1:30" ht="16.5" customHeight="1" x14ac:dyDescent="0.25">
      <c r="A30" s="179"/>
      <c r="B30" s="141"/>
      <c r="C30" s="224" t="s">
        <v>94</v>
      </c>
      <c r="D30" s="225"/>
      <c r="E30" s="60"/>
      <c r="F30" s="60"/>
      <c r="G30" s="88"/>
      <c r="H30" s="1122">
        <f>Dados!Q99</f>
        <v>1.2</v>
      </c>
      <c r="I30" s="1123"/>
      <c r="J30" s="1123"/>
      <c r="K30" s="1123"/>
      <c r="L30" s="1124">
        <f>Dados!R99</f>
        <v>2.2000000000000002</v>
      </c>
      <c r="M30" s="1124"/>
      <c r="N30" s="1124"/>
      <c r="O30" s="1125">
        <f>Dados!S99</f>
        <v>2</v>
      </c>
      <c r="P30" s="1125"/>
      <c r="Q30" s="1125"/>
      <c r="R30" s="1125" t="str">
        <f>Dados!T99</f>
        <v>Atende</v>
      </c>
      <c r="S30" s="1125"/>
      <c r="T30" s="1125"/>
      <c r="U30" s="1125"/>
      <c r="V30" s="1125"/>
      <c r="W30" s="1125"/>
      <c r="X30" s="1125"/>
      <c r="Y30" s="151"/>
      <c r="AA30" s="22"/>
    </row>
    <row r="31" spans="1:30" ht="15.75" customHeight="1" x14ac:dyDescent="0.25">
      <c r="A31" s="179"/>
      <c r="B31" s="141"/>
      <c r="C31" s="226" t="s">
        <v>96</v>
      </c>
      <c r="D31" s="227"/>
      <c r="E31" s="228"/>
      <c r="F31" s="228"/>
      <c r="G31" s="229"/>
      <c r="H31" s="1122" t="str">
        <f>Dados!Q100</f>
        <v>----</v>
      </c>
      <c r="I31" s="1123"/>
      <c r="J31" s="1123"/>
      <c r="K31" s="1123"/>
      <c r="L31" s="1124" t="str">
        <f>Dados!R100</f>
        <v>----</v>
      </c>
      <c r="M31" s="1124"/>
      <c r="N31" s="1124"/>
      <c r="O31" s="1125">
        <f>Dados!S100</f>
        <v>2.5</v>
      </c>
      <c r="P31" s="1125"/>
      <c r="Q31" s="1125"/>
      <c r="R31" s="1125" t="str">
        <f>Dados!T100</f>
        <v>----</v>
      </c>
      <c r="S31" s="1125"/>
      <c r="T31" s="1125"/>
      <c r="U31" s="1125"/>
      <c r="V31" s="1125"/>
      <c r="W31" s="1125"/>
      <c r="X31" s="1125"/>
      <c r="Y31" s="151"/>
      <c r="AA31" s="22"/>
    </row>
    <row r="32" spans="1:30" ht="15.75" customHeight="1" x14ac:dyDescent="0.25">
      <c r="A32" s="179"/>
      <c r="B32" s="141"/>
      <c r="C32" s="224" t="s">
        <v>97</v>
      </c>
      <c r="D32" s="225"/>
      <c r="E32" s="60"/>
      <c r="F32" s="60"/>
      <c r="G32" s="88"/>
      <c r="H32" s="1122" t="str">
        <f>Dados!Q101</f>
        <v>2:1</v>
      </c>
      <c r="I32" s="1123"/>
      <c r="J32" s="1123"/>
      <c r="K32" s="1123"/>
      <c r="L32" s="1124" t="str">
        <f>Dados!R101</f>
        <v>4:1</v>
      </c>
      <c r="M32" s="1124"/>
      <c r="N32" s="1124"/>
      <c r="O32" s="1125">
        <f>Dados!S101</f>
        <v>2.5</v>
      </c>
      <c r="P32" s="1125"/>
      <c r="Q32" s="1125"/>
      <c r="R32" s="1125" t="str">
        <f>Dados!T101</f>
        <v>Atende</v>
      </c>
      <c r="S32" s="1125"/>
      <c r="T32" s="1125"/>
      <c r="U32" s="1125"/>
      <c r="V32" s="1125"/>
      <c r="W32" s="1125"/>
      <c r="X32" s="1125"/>
      <c r="Y32" s="151"/>
      <c r="AA32" s="22"/>
      <c r="AD32" s="22"/>
    </row>
    <row r="33" spans="1:35" ht="16.5" customHeight="1" x14ac:dyDescent="0.25">
      <c r="A33" s="179"/>
      <c r="B33" s="141"/>
      <c r="C33" s="230" t="s">
        <v>98</v>
      </c>
      <c r="D33" s="231"/>
      <c r="E33" s="232"/>
      <c r="F33" s="232"/>
      <c r="G33" s="618"/>
      <c r="H33" s="1190">
        <f>Dados!Q102</f>
        <v>2325</v>
      </c>
      <c r="I33" s="1191"/>
      <c r="J33" s="1191"/>
      <c r="K33" s="1191"/>
      <c r="L33" s="1124" t="str">
        <f>Dados!R102</f>
        <v>----</v>
      </c>
      <c r="M33" s="1124"/>
      <c r="N33" s="1124"/>
      <c r="O33" s="1192">
        <f>Dados!S102</f>
        <v>5000</v>
      </c>
      <c r="P33" s="1192"/>
      <c r="Q33" s="1192"/>
      <c r="R33" s="1125" t="str">
        <f>Dados!T102</f>
        <v>Atende</v>
      </c>
      <c r="S33" s="1125"/>
      <c r="T33" s="1125"/>
      <c r="U33" s="1125"/>
      <c r="V33" s="1125"/>
      <c r="W33" s="1125"/>
      <c r="X33" s="1125"/>
      <c r="Y33" s="151"/>
      <c r="AA33" s="22"/>
    </row>
    <row r="34" spans="1:35" ht="6" customHeight="1" x14ac:dyDescent="0.25">
      <c r="A34" s="179"/>
      <c r="B34" s="141"/>
      <c r="C34" s="233"/>
      <c r="D34" s="233"/>
      <c r="E34" s="233"/>
      <c r="F34" s="234"/>
      <c r="G34" s="235"/>
      <c r="H34" s="235"/>
      <c r="I34" s="236"/>
      <c r="J34" s="234"/>
      <c r="K34" s="190"/>
      <c r="L34" s="217"/>
      <c r="M34" s="193"/>
      <c r="N34" s="193"/>
      <c r="O34" s="194"/>
      <c r="P34" s="217"/>
      <c r="Q34" s="217"/>
      <c r="R34" s="217"/>
      <c r="S34" s="193"/>
      <c r="T34" s="193"/>
      <c r="U34" s="190"/>
      <c r="V34" s="190"/>
      <c r="W34" s="190"/>
      <c r="X34" s="190"/>
      <c r="Y34" s="151"/>
      <c r="AA34" s="22"/>
    </row>
    <row r="35" spans="1:35" ht="14.25" customHeight="1" x14ac:dyDescent="0.25">
      <c r="A35" s="179"/>
      <c r="B35" s="141"/>
      <c r="C35" s="277" t="s">
        <v>219</v>
      </c>
      <c r="D35" s="171"/>
      <c r="E35" s="172"/>
      <c r="F35" s="172"/>
      <c r="G35" s="172"/>
      <c r="P35" s="302"/>
      <c r="Q35" s="302"/>
      <c r="R35" s="302"/>
      <c r="S35" s="302"/>
      <c r="T35" s="302"/>
      <c r="U35" s="237"/>
      <c r="V35" s="217"/>
      <c r="W35" s="190"/>
      <c r="X35" s="190"/>
      <c r="Y35" s="151"/>
      <c r="AA35" s="22"/>
      <c r="AC35" s="277"/>
      <c r="AD35" s="277"/>
      <c r="AE35" s="540"/>
      <c r="AF35" s="541"/>
      <c r="AG35" s="542"/>
      <c r="AH35" s="543"/>
    </row>
    <row r="36" spans="1:35" ht="4.5" customHeight="1" x14ac:dyDescent="0.25">
      <c r="A36" s="179"/>
      <c r="B36" s="141"/>
      <c r="C36" s="544"/>
      <c r="D36" s="174"/>
      <c r="E36" s="172"/>
      <c r="F36" s="172"/>
      <c r="G36" s="172"/>
      <c r="H36" s="175"/>
      <c r="I36" s="176"/>
      <c r="J36" s="177"/>
      <c r="K36" s="173"/>
      <c r="L36" s="238"/>
      <c r="M36" s="238"/>
      <c r="N36" s="238"/>
      <c r="O36" s="237"/>
      <c r="P36" s="237"/>
      <c r="Q36" s="237"/>
      <c r="R36" s="217"/>
      <c r="S36" s="193"/>
      <c r="T36" s="193"/>
      <c r="U36" s="190"/>
      <c r="V36" s="190"/>
      <c r="W36" s="190"/>
      <c r="X36" s="190"/>
      <c r="Y36" s="151"/>
      <c r="AA36" s="22"/>
      <c r="AC36" s="544"/>
      <c r="AD36" s="277"/>
      <c r="AE36" s="540"/>
      <c r="AF36" s="541"/>
      <c r="AG36" s="542"/>
      <c r="AH36" s="543"/>
    </row>
    <row r="37" spans="1:35" ht="12" customHeight="1" x14ac:dyDescent="0.25">
      <c r="A37" s="179"/>
      <c r="B37" s="141"/>
      <c r="C37" s="277" t="s">
        <v>220</v>
      </c>
      <c r="D37" s="174"/>
      <c r="E37" s="172"/>
      <c r="F37" s="172"/>
      <c r="G37" s="172"/>
      <c r="H37" s="175"/>
      <c r="I37" s="176"/>
      <c r="J37" s="177"/>
      <c r="K37" s="173"/>
      <c r="L37" s="238"/>
      <c r="M37" s="238"/>
      <c r="N37" s="238"/>
      <c r="O37" s="237"/>
      <c r="P37" s="237"/>
      <c r="Q37" s="237"/>
      <c r="R37" s="217"/>
      <c r="S37" s="193"/>
      <c r="T37" s="193"/>
      <c r="U37" s="190"/>
      <c r="V37" s="190"/>
      <c r="W37" s="190"/>
      <c r="X37" s="190"/>
      <c r="Y37" s="151"/>
      <c r="AA37" s="22"/>
      <c r="AC37" s="277"/>
      <c r="AD37" s="277"/>
      <c r="AE37" s="540"/>
      <c r="AF37" s="541"/>
      <c r="AG37" s="542"/>
      <c r="AH37" s="543"/>
    </row>
    <row r="38" spans="1:35" ht="12" customHeight="1" x14ac:dyDescent="0.25">
      <c r="A38" s="179"/>
      <c r="B38" s="141"/>
      <c r="C38" s="277" t="s">
        <v>221</v>
      </c>
      <c r="D38" s="174"/>
      <c r="E38" s="172"/>
      <c r="F38" s="172"/>
      <c r="G38" s="172"/>
      <c r="H38" s="175"/>
      <c r="I38" s="176"/>
      <c r="J38" s="177"/>
      <c r="K38" s="173"/>
      <c r="L38" s="238"/>
      <c r="M38" s="238"/>
      <c r="N38" s="238"/>
      <c r="O38" s="237"/>
      <c r="P38" s="237"/>
      <c r="Q38" s="237"/>
      <c r="R38" s="217"/>
      <c r="S38" s="193"/>
      <c r="T38" s="193"/>
      <c r="U38" s="190"/>
      <c r="V38" s="190"/>
      <c r="W38" s="190"/>
      <c r="X38" s="190"/>
      <c r="Y38" s="151"/>
      <c r="AA38" s="22"/>
      <c r="AC38" s="277"/>
      <c r="AD38" s="277"/>
      <c r="AE38" s="540"/>
      <c r="AF38" s="541"/>
      <c r="AG38" s="542"/>
      <c r="AH38" s="543"/>
    </row>
    <row r="39" spans="1:35" ht="12" customHeight="1" x14ac:dyDescent="0.25">
      <c r="A39" s="179"/>
      <c r="B39" s="141"/>
      <c r="C39" s="277" t="s">
        <v>223</v>
      </c>
      <c r="D39" s="233"/>
      <c r="E39" s="233"/>
      <c r="F39" s="234"/>
      <c r="G39" s="235"/>
      <c r="H39" s="235"/>
      <c r="I39" s="236"/>
      <c r="J39" s="234"/>
      <c r="K39" s="190"/>
      <c r="L39" s="217"/>
      <c r="M39" s="193"/>
      <c r="N39" s="193"/>
      <c r="O39" s="194"/>
      <c r="P39" s="217"/>
      <c r="Q39" s="217"/>
      <c r="R39" s="217"/>
      <c r="S39" s="193"/>
      <c r="T39" s="193"/>
      <c r="U39" s="190"/>
      <c r="V39" s="190"/>
      <c r="W39" s="190"/>
      <c r="X39" s="190"/>
      <c r="Y39" s="151"/>
      <c r="AA39" s="22"/>
      <c r="AC39" s="277"/>
      <c r="AD39" s="277"/>
      <c r="AE39" s="540"/>
      <c r="AF39" s="541"/>
      <c r="AG39" s="542"/>
      <c r="AH39" s="543"/>
    </row>
    <row r="40" spans="1:35" ht="12" customHeight="1" x14ac:dyDescent="0.25">
      <c r="A40" s="179"/>
      <c r="B40" s="141"/>
      <c r="C40" s="277" t="s">
        <v>95</v>
      </c>
      <c r="D40" s="233"/>
      <c r="E40" s="233"/>
      <c r="F40" s="234"/>
      <c r="G40" s="235"/>
      <c r="H40" s="235"/>
      <c r="I40" s="236"/>
      <c r="J40" s="234"/>
      <c r="K40" s="190"/>
      <c r="L40" s="217"/>
      <c r="M40" s="193"/>
      <c r="N40" s="193"/>
      <c r="O40" s="194"/>
      <c r="P40" s="217"/>
      <c r="Q40" s="217"/>
      <c r="R40" s="217"/>
      <c r="S40" s="193"/>
      <c r="T40" s="193"/>
      <c r="U40" s="190"/>
      <c r="V40" s="190"/>
      <c r="W40" s="190"/>
      <c r="X40" s="190"/>
      <c r="Y40" s="151"/>
      <c r="AA40" s="22"/>
      <c r="AC40" s="277"/>
      <c r="AD40" s="277"/>
      <c r="AE40" s="540"/>
      <c r="AF40" s="541"/>
      <c r="AG40" s="542"/>
      <c r="AH40" s="543"/>
    </row>
    <row r="41" spans="1:35" ht="12" customHeight="1" x14ac:dyDescent="0.25">
      <c r="A41" s="179"/>
      <c r="B41" s="141"/>
      <c r="C41" s="277" t="s">
        <v>222</v>
      </c>
      <c r="D41" s="233"/>
      <c r="E41" s="233"/>
      <c r="F41" s="234"/>
      <c r="G41" s="235"/>
      <c r="H41" s="235"/>
      <c r="I41" s="236"/>
      <c r="J41" s="234"/>
      <c r="K41" s="190"/>
      <c r="L41" s="217"/>
      <c r="M41" s="193"/>
      <c r="N41" s="193"/>
      <c r="O41" s="194"/>
      <c r="P41" s="217"/>
      <c r="Q41" s="217"/>
      <c r="R41" s="217"/>
      <c r="S41" s="193"/>
      <c r="T41" s="193"/>
      <c r="U41" s="190"/>
      <c r="V41" s="190"/>
      <c r="W41" s="190"/>
      <c r="X41" s="190"/>
      <c r="Y41" s="151"/>
      <c r="AA41" s="22"/>
      <c r="AC41" s="277"/>
      <c r="AD41" s="277"/>
      <c r="AE41" s="540"/>
      <c r="AF41" s="541"/>
      <c r="AG41" s="542"/>
      <c r="AH41" s="543"/>
    </row>
    <row r="42" spans="1:35" ht="6.75" customHeight="1" x14ac:dyDescent="0.25">
      <c r="A42" s="179"/>
      <c r="B42" s="141"/>
      <c r="C42" s="277"/>
      <c r="D42" s="233"/>
      <c r="E42" s="233"/>
      <c r="F42" s="234"/>
      <c r="G42" s="235"/>
      <c r="H42" s="235"/>
      <c r="I42" s="236"/>
      <c r="J42" s="234"/>
      <c r="K42" s="190"/>
      <c r="L42" s="217"/>
      <c r="M42" s="193"/>
      <c r="N42" s="193"/>
      <c r="O42" s="194"/>
      <c r="P42" s="217"/>
      <c r="Q42" s="217"/>
      <c r="R42" s="217"/>
      <c r="S42" s="193"/>
      <c r="T42" s="193"/>
      <c r="U42" s="190"/>
      <c r="V42" s="190"/>
      <c r="W42" s="190"/>
      <c r="X42" s="190"/>
      <c r="Y42" s="151"/>
      <c r="AA42" s="22"/>
      <c r="AC42" s="277"/>
      <c r="AD42" s="277"/>
      <c r="AE42" s="540"/>
      <c r="AF42" s="541"/>
      <c r="AG42" s="542"/>
      <c r="AH42" s="543"/>
    </row>
    <row r="43" spans="1:35" ht="14.25" customHeight="1" x14ac:dyDescent="0.25">
      <c r="A43" s="179"/>
      <c r="B43" s="141"/>
      <c r="C43" s="1121" t="str">
        <f>IF(Dados!U113="não"," Foi declarado que as distâncias mínimas horizontais e demais determinações da NORMA não foram atendidas"," Foi declarado que as distâncias mínimas horizontais e demais determinações da NORMA foram atendidas")</f>
        <v xml:space="preserve"> Foi declarado que as distâncias mínimas horizontais e demais determinações da NORMA foram atendidas</v>
      </c>
      <c r="D43" s="1121"/>
      <c r="E43" s="1121"/>
      <c r="F43" s="1121"/>
      <c r="G43" s="1121"/>
      <c r="H43" s="1121"/>
      <c r="I43" s="1121"/>
      <c r="J43" s="1121"/>
      <c r="K43" s="1121"/>
      <c r="L43" s="1121"/>
      <c r="M43" s="1121"/>
      <c r="N43" s="1121"/>
      <c r="O43" s="1121"/>
      <c r="P43" s="1121"/>
      <c r="Q43" s="1121"/>
      <c r="R43" s="1121"/>
      <c r="S43" s="1121"/>
      <c r="T43" s="1121"/>
      <c r="U43" s="1121"/>
      <c r="V43" s="1121"/>
      <c r="W43" s="1121"/>
      <c r="X43" s="1121"/>
      <c r="Y43" s="151"/>
      <c r="AA43" s="22"/>
      <c r="AC43" s="277"/>
      <c r="AD43" s="277"/>
      <c r="AE43" s="540"/>
      <c r="AF43" s="541"/>
      <c r="AG43" s="542"/>
      <c r="AH43" s="543"/>
    </row>
    <row r="44" spans="1:35" ht="5.25" customHeight="1" x14ac:dyDescent="0.25">
      <c r="A44" s="179"/>
      <c r="B44" s="207"/>
      <c r="C44" s="231"/>
      <c r="D44" s="239"/>
      <c r="E44" s="239"/>
      <c r="F44" s="240"/>
      <c r="G44" s="241"/>
      <c r="H44" s="241"/>
      <c r="I44" s="242"/>
      <c r="J44" s="240"/>
      <c r="K44" s="152"/>
      <c r="L44" s="243"/>
      <c r="M44" s="244"/>
      <c r="N44" s="244"/>
      <c r="O44" s="245"/>
      <c r="P44" s="243"/>
      <c r="Q44" s="243"/>
      <c r="R44" s="243"/>
      <c r="S44" s="244"/>
      <c r="T44" s="244"/>
      <c r="U44" s="152"/>
      <c r="V44" s="152"/>
      <c r="W44" s="152"/>
      <c r="X44" s="152"/>
      <c r="Y44" s="208"/>
      <c r="AA44" s="22"/>
      <c r="AC44" s="277"/>
      <c r="AD44" s="277"/>
      <c r="AE44" s="540"/>
      <c r="AF44" s="541"/>
      <c r="AG44" s="542"/>
      <c r="AH44" s="543"/>
    </row>
    <row r="45" spans="1:35" ht="3" customHeight="1" x14ac:dyDescent="0.25">
      <c r="AA45" s="22"/>
    </row>
    <row r="46" spans="1:35" ht="6.75" customHeight="1" x14ac:dyDescent="0.25">
      <c r="A46" s="179"/>
      <c r="B46" s="139"/>
      <c r="C46" s="140"/>
      <c r="D46" s="140"/>
      <c r="E46" s="140"/>
      <c r="F46" s="140"/>
      <c r="G46" s="213"/>
      <c r="H46" s="213"/>
      <c r="I46" s="246"/>
      <c r="J46" s="246"/>
      <c r="K46" s="246"/>
      <c r="L46" s="213"/>
      <c r="M46" s="213"/>
      <c r="N46" s="247"/>
      <c r="O46" s="247"/>
      <c r="P46" s="213"/>
      <c r="Q46" s="247"/>
      <c r="R46" s="247"/>
      <c r="S46" s="246"/>
      <c r="T46" s="213"/>
      <c r="U46" s="213"/>
      <c r="V46" s="213"/>
      <c r="W46" s="213"/>
      <c r="X46" s="213"/>
      <c r="Y46" s="248"/>
      <c r="Z46" s="134"/>
      <c r="AA46" s="22"/>
    </row>
    <row r="47" spans="1:35" ht="12.75" customHeight="1" x14ac:dyDescent="0.25">
      <c r="A47" s="179"/>
      <c r="B47" s="249"/>
      <c r="C47" s="418" t="s">
        <v>134</v>
      </c>
      <c r="D47" s="195"/>
      <c r="E47" s="195"/>
      <c r="F47" s="250"/>
      <c r="G47" s="158"/>
      <c r="H47" s="193" t="s">
        <v>126</v>
      </c>
      <c r="I47" s="193"/>
      <c r="J47" s="216"/>
      <c r="K47" s="216"/>
      <c r="L47" s="216"/>
      <c r="M47" s="1114" t="str">
        <f>Dados!R126</f>
        <v>Cilíndrico</v>
      </c>
      <c r="N47" s="1119"/>
      <c r="O47" s="1119"/>
      <c r="P47" s="1120"/>
      <c r="Q47" s="217"/>
      <c r="R47" s="193"/>
      <c r="S47" s="193"/>
      <c r="T47" s="193"/>
      <c r="U47" s="209"/>
      <c r="V47" s="209"/>
      <c r="W47" s="209"/>
      <c r="X47" s="209"/>
      <c r="Y47" s="218"/>
      <c r="AC47" s="131"/>
      <c r="AD47" s="131"/>
      <c r="AE47" s="130"/>
      <c r="AF47" s="127"/>
      <c r="AG47" s="127"/>
      <c r="AH47" s="127"/>
      <c r="AI47" s="127"/>
    </row>
    <row r="48" spans="1:35" ht="4.5" customHeight="1" x14ac:dyDescent="0.25">
      <c r="A48" s="179"/>
      <c r="B48" s="249"/>
      <c r="C48" s="251"/>
      <c r="D48" s="219"/>
      <c r="E48" s="219"/>
      <c r="F48" s="219"/>
      <c r="G48" s="219"/>
      <c r="H48" s="219"/>
      <c r="I48" s="219"/>
      <c r="J48" s="220"/>
      <c r="K48" s="220"/>
      <c r="L48" s="217"/>
      <c r="M48" s="217"/>
      <c r="N48" s="217"/>
      <c r="O48" s="200"/>
      <c r="P48" s="193"/>
      <c r="Q48" s="193"/>
      <c r="R48" s="193"/>
      <c r="S48" s="193"/>
      <c r="T48" s="193"/>
      <c r="U48" s="209"/>
      <c r="V48" s="209"/>
      <c r="W48" s="209"/>
      <c r="X48" s="209"/>
      <c r="Y48" s="218"/>
      <c r="AB48" s="131"/>
      <c r="AC48" s="127"/>
      <c r="AD48" s="127"/>
      <c r="AE48" s="128"/>
      <c r="AF48" s="131"/>
      <c r="AG48" s="131"/>
      <c r="AH48" s="131"/>
      <c r="AI48" s="127"/>
    </row>
    <row r="49" spans="1:37" ht="12" customHeight="1" x14ac:dyDescent="0.25">
      <c r="A49" s="179"/>
      <c r="B49" s="249"/>
      <c r="C49" s="217"/>
      <c r="D49" s="158"/>
      <c r="E49" s="158"/>
      <c r="F49" s="158"/>
      <c r="G49" s="217"/>
      <c r="H49" s="217" t="s">
        <v>133</v>
      </c>
      <c r="I49" s="217"/>
      <c r="J49" s="217"/>
      <c r="K49" s="217"/>
      <c r="L49" s="221"/>
      <c r="M49" s="1094">
        <f>Dados!BR91</f>
        <v>1280</v>
      </c>
      <c r="N49" s="1095"/>
      <c r="O49" s="1095"/>
      <c r="P49" s="1096"/>
      <c r="Q49" s="528"/>
      <c r="R49" s="528"/>
      <c r="S49" s="528"/>
      <c r="T49" s="528"/>
      <c r="U49" s="528"/>
      <c r="V49" s="268"/>
      <c r="W49" s="268"/>
      <c r="X49" s="268"/>
      <c r="Y49" s="252"/>
      <c r="AB49" s="131"/>
      <c r="AC49" s="127"/>
      <c r="AD49" s="127"/>
      <c r="AE49" s="128"/>
      <c r="AF49" s="131"/>
      <c r="AG49" s="131"/>
      <c r="AH49" s="131"/>
      <c r="AI49" s="127"/>
    </row>
    <row r="50" spans="1:37" ht="4.5" customHeight="1" x14ac:dyDescent="0.25">
      <c r="A50" s="179"/>
      <c r="B50" s="249"/>
      <c r="C50" s="219"/>
      <c r="D50" s="219"/>
      <c r="E50" s="219"/>
      <c r="F50" s="219"/>
      <c r="G50" s="219"/>
      <c r="H50" s="219"/>
      <c r="I50" s="222"/>
      <c r="J50" s="223"/>
      <c r="K50" s="223"/>
      <c r="L50" s="217"/>
      <c r="M50" s="193"/>
      <c r="N50" s="193"/>
      <c r="O50" s="194"/>
      <c r="P50" s="217"/>
      <c r="Q50" s="217"/>
      <c r="R50" s="217"/>
      <c r="S50" s="193"/>
      <c r="T50" s="193"/>
      <c r="U50" s="209"/>
      <c r="V50" s="209"/>
      <c r="W50" s="209"/>
      <c r="X50" s="209"/>
      <c r="Y50" s="218"/>
      <c r="AB50" s="131"/>
      <c r="AC50" s="127"/>
      <c r="AD50" s="127"/>
      <c r="AE50" s="128"/>
      <c r="AF50" s="131"/>
      <c r="AG50" s="131"/>
      <c r="AH50" s="131"/>
      <c r="AI50" s="127"/>
    </row>
    <row r="51" spans="1:37" ht="12.75" customHeight="1" x14ac:dyDescent="0.25">
      <c r="A51" s="179"/>
      <c r="B51" s="253"/>
      <c r="C51" s="1160" t="s">
        <v>72</v>
      </c>
      <c r="D51" s="1161"/>
      <c r="E51" s="1161"/>
      <c r="F51" s="1161"/>
      <c r="G51" s="1162"/>
      <c r="H51" s="1110" t="s">
        <v>73</v>
      </c>
      <c r="I51" s="1111"/>
      <c r="J51" s="1111"/>
      <c r="K51" s="1111"/>
      <c r="L51" s="1111"/>
      <c r="M51" s="1111"/>
      <c r="N51" s="1112"/>
      <c r="O51" s="1154" t="s">
        <v>34</v>
      </c>
      <c r="P51" s="1155"/>
      <c r="Q51" s="1156"/>
      <c r="R51" s="1154" t="s">
        <v>90</v>
      </c>
      <c r="S51" s="1155"/>
      <c r="T51" s="1155"/>
      <c r="U51" s="1155"/>
      <c r="V51" s="1155"/>
      <c r="W51" s="1155"/>
      <c r="X51" s="1156"/>
      <c r="Y51" s="218"/>
      <c r="AB51" s="131"/>
      <c r="AC51" s="125"/>
      <c r="AD51" s="125"/>
      <c r="AE51" s="125"/>
      <c r="AF51" s="125"/>
      <c r="AG51" s="126"/>
      <c r="AH51" s="126"/>
      <c r="AI51" s="126"/>
    </row>
    <row r="52" spans="1:37" ht="13.5" customHeight="1" x14ac:dyDescent="0.25">
      <c r="A52" s="179"/>
      <c r="B52" s="253"/>
      <c r="C52" s="1180"/>
      <c r="D52" s="1181"/>
      <c r="E52" s="1181"/>
      <c r="F52" s="1181"/>
      <c r="G52" s="1182"/>
      <c r="H52" s="1107" t="s">
        <v>75</v>
      </c>
      <c r="I52" s="1108"/>
      <c r="J52" s="1108"/>
      <c r="K52" s="1109"/>
      <c r="L52" s="1107" t="s">
        <v>76</v>
      </c>
      <c r="M52" s="1108"/>
      <c r="N52" s="1109"/>
      <c r="O52" s="1157"/>
      <c r="P52" s="1158"/>
      <c r="Q52" s="1159"/>
      <c r="R52" s="1157"/>
      <c r="S52" s="1158"/>
      <c r="T52" s="1158"/>
      <c r="U52" s="1158"/>
      <c r="V52" s="1158"/>
      <c r="W52" s="1158"/>
      <c r="X52" s="1159"/>
      <c r="Y52" s="218"/>
      <c r="AB52" s="125"/>
      <c r="AC52" s="127"/>
      <c r="AD52" s="127"/>
      <c r="AE52" s="128"/>
      <c r="AF52" s="131"/>
      <c r="AG52" s="131"/>
      <c r="AH52" s="131"/>
      <c r="AI52" s="127"/>
    </row>
    <row r="53" spans="1:37" ht="12" customHeight="1" x14ac:dyDescent="0.25">
      <c r="A53" s="179"/>
      <c r="B53" s="253"/>
      <c r="C53" s="254" t="s">
        <v>91</v>
      </c>
      <c r="D53" s="255"/>
      <c r="E53" s="256"/>
      <c r="F53" s="256"/>
      <c r="G53" s="257"/>
      <c r="H53" s="1097" t="str">
        <f>Dados!Q138</f>
        <v>----</v>
      </c>
      <c r="I53" s="1098"/>
      <c r="J53" s="1098"/>
      <c r="K53" s="1099"/>
      <c r="L53" s="1097" t="str">
        <f>Dados!R138</f>
        <v>----</v>
      </c>
      <c r="M53" s="1098"/>
      <c r="N53" s="1099"/>
      <c r="O53" s="1100">
        <f>Dados!S138</f>
        <v>1.5</v>
      </c>
      <c r="P53" s="1101"/>
      <c r="Q53" s="1102"/>
      <c r="R53" s="1100" t="str">
        <f>Dados!T138</f>
        <v>----</v>
      </c>
      <c r="S53" s="1101"/>
      <c r="T53" s="1101"/>
      <c r="U53" s="1101"/>
      <c r="V53" s="1101"/>
      <c r="W53" s="1101"/>
      <c r="X53" s="1102"/>
      <c r="Y53" s="218"/>
      <c r="AB53" s="131"/>
      <c r="AC53" s="132"/>
      <c r="AD53" s="125"/>
      <c r="AE53" s="125"/>
      <c r="AF53" s="125"/>
      <c r="AG53" s="126"/>
      <c r="AH53" s="126"/>
      <c r="AI53" s="126"/>
    </row>
    <row r="54" spans="1:37" ht="14.25" customHeight="1" x14ac:dyDescent="0.25">
      <c r="A54" s="179"/>
      <c r="B54" s="141"/>
      <c r="C54" s="258" t="s">
        <v>93</v>
      </c>
      <c r="D54" s="259"/>
      <c r="E54" s="260"/>
      <c r="F54" s="260"/>
      <c r="G54" s="261"/>
      <c r="H54" s="1097" t="str">
        <f>Dados!Q139</f>
        <v>----</v>
      </c>
      <c r="I54" s="1098"/>
      <c r="J54" s="1098"/>
      <c r="K54" s="1099"/>
      <c r="L54" s="1097" t="str">
        <f>Dados!R139</f>
        <v>----</v>
      </c>
      <c r="M54" s="1098"/>
      <c r="N54" s="1099"/>
      <c r="O54" s="1100" t="str">
        <f>Dados!S139</f>
        <v>----</v>
      </c>
      <c r="P54" s="1101"/>
      <c r="Q54" s="1102"/>
      <c r="R54" s="1100" t="str">
        <f>Dados!T139</f>
        <v>----</v>
      </c>
      <c r="S54" s="1101"/>
      <c r="T54" s="1101"/>
      <c r="U54" s="1101"/>
      <c r="V54" s="1101"/>
      <c r="W54" s="1101"/>
      <c r="X54" s="1102"/>
      <c r="Y54" s="218"/>
      <c r="AB54" s="125"/>
      <c r="AC54" s="127"/>
      <c r="AD54" s="127"/>
      <c r="AE54" s="133"/>
      <c r="AF54" s="127"/>
      <c r="AG54" s="127"/>
      <c r="AH54" s="127"/>
      <c r="AI54" s="127"/>
    </row>
    <row r="55" spans="1:37" ht="15" customHeight="1" x14ac:dyDescent="0.25">
      <c r="A55" s="179"/>
      <c r="B55" s="141"/>
      <c r="C55" s="226" t="s">
        <v>94</v>
      </c>
      <c r="D55" s="227"/>
      <c r="E55" s="228"/>
      <c r="F55" s="228"/>
      <c r="G55" s="229"/>
      <c r="H55" s="1126">
        <f>Dados!Q140</f>
        <v>1.2</v>
      </c>
      <c r="I55" s="1127"/>
      <c r="J55" s="1127"/>
      <c r="K55" s="1128"/>
      <c r="L55" s="1126" t="str">
        <f>Dados!R140</f>
        <v>----</v>
      </c>
      <c r="M55" s="1127"/>
      <c r="N55" s="1128"/>
      <c r="O55" s="1100">
        <f>Dados!S140</f>
        <v>1.2</v>
      </c>
      <c r="P55" s="1101"/>
      <c r="Q55" s="1102"/>
      <c r="R55" s="1100" t="str">
        <f>Dados!T140</f>
        <v>Atende</v>
      </c>
      <c r="S55" s="1101"/>
      <c r="T55" s="1101"/>
      <c r="U55" s="1101"/>
      <c r="V55" s="1101"/>
      <c r="W55" s="1101"/>
      <c r="X55" s="1102"/>
      <c r="Y55" s="262"/>
      <c r="AB55" s="127"/>
      <c r="AC55" s="127"/>
      <c r="AD55" s="127"/>
      <c r="AE55" s="128"/>
      <c r="AF55" s="131"/>
      <c r="AG55" s="131"/>
      <c r="AH55" s="131"/>
      <c r="AI55" s="127"/>
    </row>
    <row r="56" spans="1:37" ht="13.5" customHeight="1" x14ac:dyDescent="0.25">
      <c r="A56" s="179"/>
      <c r="B56" s="141"/>
      <c r="C56" s="224" t="s">
        <v>96</v>
      </c>
      <c r="D56" s="225"/>
      <c r="E56" s="60"/>
      <c r="F56" s="60"/>
      <c r="G56" s="88"/>
      <c r="H56" s="1097" t="str">
        <f>Dados!Q141</f>
        <v>----</v>
      </c>
      <c r="I56" s="1098"/>
      <c r="J56" s="1098"/>
      <c r="K56" s="1099"/>
      <c r="L56" s="1097" t="str">
        <f>Dados!R141</f>
        <v>----</v>
      </c>
      <c r="M56" s="1098"/>
      <c r="N56" s="1099"/>
      <c r="O56" s="1100" t="str">
        <f>Dados!S141</f>
        <v>----</v>
      </c>
      <c r="P56" s="1101"/>
      <c r="Q56" s="1102"/>
      <c r="R56" s="1100" t="str">
        <f>Dados!T141</f>
        <v>----</v>
      </c>
      <c r="S56" s="1101"/>
      <c r="T56" s="1101"/>
      <c r="U56" s="1101"/>
      <c r="V56" s="1101"/>
      <c r="W56" s="1101"/>
      <c r="X56" s="1102"/>
      <c r="Y56" s="262"/>
      <c r="AB56" s="131"/>
      <c r="AC56" s="22"/>
      <c r="AD56" s="22"/>
      <c r="AE56" s="22"/>
      <c r="AF56" s="22"/>
      <c r="AG56" s="22"/>
      <c r="AH56" s="22"/>
      <c r="AI56" s="22"/>
    </row>
    <row r="57" spans="1:37" ht="12.75" customHeight="1" x14ac:dyDescent="0.25">
      <c r="A57" s="179"/>
      <c r="B57" s="141"/>
      <c r="C57" s="230" t="s">
        <v>98</v>
      </c>
      <c r="D57" s="231"/>
      <c r="E57" s="263"/>
      <c r="F57" s="263"/>
      <c r="G57" s="264"/>
      <c r="H57" s="1126">
        <f>Dados!Q142</f>
        <v>1280</v>
      </c>
      <c r="I57" s="1127"/>
      <c r="J57" s="1127"/>
      <c r="K57" s="1128"/>
      <c r="L57" s="1097" t="str">
        <f>Dados!R142</f>
        <v>----</v>
      </c>
      <c r="M57" s="1098"/>
      <c r="N57" s="1099"/>
      <c r="O57" s="1103">
        <f>Dados!S142</f>
        <v>2120.58</v>
      </c>
      <c r="P57" s="1104"/>
      <c r="Q57" s="1105"/>
      <c r="R57" s="1100" t="str">
        <f>Dados!T142</f>
        <v>Atende</v>
      </c>
      <c r="S57" s="1101"/>
      <c r="T57" s="1101"/>
      <c r="U57" s="1101"/>
      <c r="V57" s="1101"/>
      <c r="W57" s="1101"/>
      <c r="X57" s="1102"/>
      <c r="Y57" s="151"/>
      <c r="AB57" s="131"/>
      <c r="AC57" s="22"/>
      <c r="AD57" s="22"/>
      <c r="AE57" s="22"/>
      <c r="AF57" s="22"/>
      <c r="AG57" s="22"/>
      <c r="AH57" s="22"/>
      <c r="AI57" s="22"/>
    </row>
    <row r="58" spans="1:37" ht="7.5" customHeight="1" x14ac:dyDescent="0.25">
      <c r="A58" s="179"/>
      <c r="B58" s="141"/>
      <c r="C58" s="190"/>
      <c r="D58" s="190"/>
      <c r="E58" s="190"/>
      <c r="F58" s="194"/>
      <c r="G58" s="528"/>
      <c r="H58" s="528"/>
      <c r="I58" s="155"/>
      <c r="J58" s="190"/>
      <c r="K58" s="190"/>
      <c r="L58" s="190"/>
      <c r="M58" s="529"/>
      <c r="N58" s="529"/>
      <c r="O58" s="294"/>
      <c r="P58" s="294"/>
      <c r="Q58" s="294"/>
      <c r="R58" s="528"/>
      <c r="S58" s="528"/>
      <c r="T58" s="528"/>
      <c r="U58" s="190"/>
      <c r="V58" s="190"/>
      <c r="W58" s="190"/>
      <c r="X58" s="190"/>
      <c r="Y58" s="151"/>
      <c r="AB58" s="22"/>
      <c r="AC58" s="22"/>
      <c r="AD58" s="22"/>
      <c r="AE58" s="22"/>
      <c r="AF58" s="22"/>
      <c r="AG58" s="22"/>
      <c r="AH58" s="22"/>
      <c r="AI58" s="22"/>
    </row>
    <row r="59" spans="1:37" ht="11.25" customHeight="1" x14ac:dyDescent="0.25">
      <c r="A59" s="179"/>
      <c r="B59" s="141"/>
      <c r="C59" s="277" t="s">
        <v>346</v>
      </c>
      <c r="D59" s="171"/>
      <c r="E59" s="190"/>
      <c r="F59" s="194"/>
      <c r="G59" s="528"/>
      <c r="H59" s="528"/>
      <c r="I59" s="155"/>
      <c r="J59" s="190"/>
      <c r="K59" s="190"/>
      <c r="L59" s="190"/>
      <c r="M59" s="529"/>
      <c r="N59" s="529"/>
      <c r="O59" s="294"/>
      <c r="P59" s="294"/>
      <c r="Q59" s="294"/>
      <c r="R59" s="528"/>
      <c r="S59" s="528"/>
      <c r="T59" s="528"/>
      <c r="U59" s="190"/>
      <c r="V59" s="190"/>
      <c r="W59" s="190"/>
      <c r="X59" s="190"/>
      <c r="Y59" s="151"/>
      <c r="AB59" s="22"/>
      <c r="AC59" s="22"/>
      <c r="AD59" s="22"/>
      <c r="AE59" s="22"/>
      <c r="AF59" s="22"/>
      <c r="AG59" s="22"/>
      <c r="AH59" s="22"/>
      <c r="AI59" s="22"/>
    </row>
    <row r="60" spans="1:37" ht="3.75" customHeight="1" x14ac:dyDescent="0.25">
      <c r="A60" s="179"/>
      <c r="B60" s="141"/>
      <c r="C60" s="544"/>
      <c r="D60" s="174"/>
      <c r="E60" s="190"/>
      <c r="F60" s="194"/>
      <c r="G60" s="528"/>
      <c r="H60" s="528"/>
      <c r="I60" s="155"/>
      <c r="J60" s="190"/>
      <c r="K60" s="190"/>
      <c r="L60" s="190"/>
      <c r="M60" s="529"/>
      <c r="N60" s="529"/>
      <c r="O60" s="294"/>
      <c r="P60" s="294"/>
      <c r="Q60" s="294"/>
      <c r="R60" s="528"/>
      <c r="S60" s="528"/>
      <c r="T60" s="528"/>
      <c r="U60" s="190"/>
      <c r="V60" s="190"/>
      <c r="W60" s="190"/>
      <c r="X60" s="190"/>
      <c r="Y60" s="151"/>
      <c r="AB60" s="22"/>
      <c r="AC60" s="22"/>
      <c r="AD60" s="22"/>
      <c r="AE60" s="22"/>
      <c r="AF60" s="22"/>
      <c r="AG60" s="22"/>
      <c r="AH60" s="22"/>
      <c r="AI60" s="22"/>
    </row>
    <row r="61" spans="1:37" ht="13.5" customHeight="1" x14ac:dyDescent="0.25">
      <c r="A61" s="179"/>
      <c r="B61" s="141"/>
      <c r="C61" s="277" t="s">
        <v>220</v>
      </c>
      <c r="D61" s="174"/>
      <c r="E61" s="190"/>
      <c r="F61" s="194"/>
      <c r="G61" s="528"/>
      <c r="H61" s="528"/>
      <c r="I61" s="155"/>
      <c r="J61" s="190"/>
      <c r="K61" s="190"/>
      <c r="L61" s="190"/>
      <c r="M61" s="529"/>
      <c r="N61" s="529"/>
      <c r="O61" s="294"/>
      <c r="P61" s="294"/>
      <c r="Q61" s="294"/>
      <c r="R61" s="528"/>
      <c r="S61" s="528"/>
      <c r="T61" s="528"/>
      <c r="U61" s="190"/>
      <c r="V61" s="190"/>
      <c r="W61" s="190"/>
      <c r="X61" s="190"/>
      <c r="Y61" s="151"/>
      <c r="AB61" s="22"/>
      <c r="AC61" s="22"/>
      <c r="AD61" s="22"/>
      <c r="AE61" s="22"/>
      <c r="AF61" s="22"/>
      <c r="AG61" s="22"/>
      <c r="AH61" s="22"/>
      <c r="AI61" s="22"/>
    </row>
    <row r="62" spans="1:37" ht="12" customHeight="1" x14ac:dyDescent="0.25">
      <c r="A62" s="179"/>
      <c r="B62" s="141"/>
      <c r="C62" s="277" t="s">
        <v>221</v>
      </c>
      <c r="D62" s="174"/>
      <c r="E62" s="190"/>
      <c r="F62" s="194"/>
      <c r="G62" s="528"/>
      <c r="H62" s="528"/>
      <c r="I62" s="155"/>
      <c r="J62" s="190"/>
      <c r="K62" s="190"/>
      <c r="L62" s="190"/>
      <c r="M62" s="529"/>
      <c r="N62" s="529"/>
      <c r="O62" s="294"/>
      <c r="P62" s="294"/>
      <c r="Q62" s="294"/>
      <c r="R62" s="528"/>
      <c r="S62" s="528"/>
      <c r="T62" s="528"/>
      <c r="U62" s="190"/>
      <c r="V62" s="190"/>
      <c r="W62" s="190"/>
      <c r="X62" s="190"/>
      <c r="Y62" s="151"/>
      <c r="AB62" s="22"/>
      <c r="AC62" s="22"/>
      <c r="AD62" s="22"/>
      <c r="AE62" s="22"/>
      <c r="AF62" s="22"/>
      <c r="AG62" s="22"/>
      <c r="AH62" s="22"/>
      <c r="AI62" s="22"/>
    </row>
    <row r="63" spans="1:37" ht="12.75" customHeight="1" x14ac:dyDescent="0.25">
      <c r="A63" s="179"/>
      <c r="B63" s="141"/>
      <c r="C63" s="277" t="s">
        <v>223</v>
      </c>
      <c r="D63" s="233"/>
      <c r="E63" s="190"/>
      <c r="F63" s="209"/>
      <c r="G63" s="209"/>
      <c r="H63" s="209"/>
      <c r="I63" s="265"/>
      <c r="J63" s="265"/>
      <c r="K63" s="265"/>
      <c r="L63" s="209"/>
      <c r="M63" s="209"/>
      <c r="N63" s="209"/>
      <c r="O63" s="209"/>
      <c r="P63" s="209"/>
      <c r="Q63" s="265"/>
      <c r="R63" s="265"/>
      <c r="S63" s="265"/>
      <c r="T63" s="209"/>
      <c r="U63" s="209"/>
      <c r="V63" s="209"/>
      <c r="W63" s="209"/>
      <c r="X63" s="209"/>
      <c r="Y63" s="252"/>
      <c r="AB63" s="22"/>
      <c r="AC63" s="124"/>
      <c r="AD63" s="124"/>
      <c r="AE63" s="124"/>
      <c r="AF63" s="135"/>
      <c r="AG63" s="136"/>
      <c r="AH63" s="1118"/>
      <c r="AI63" s="1118"/>
    </row>
    <row r="64" spans="1:37" ht="13.5" customHeight="1" x14ac:dyDescent="0.25">
      <c r="A64" s="179"/>
      <c r="B64" s="141"/>
      <c r="C64" s="277" t="s">
        <v>95</v>
      </c>
      <c r="D64" s="233"/>
      <c r="E64" s="190"/>
      <c r="F64" s="209"/>
      <c r="G64" s="209"/>
      <c r="H64" s="209"/>
      <c r="I64" s="265"/>
      <c r="J64" s="265"/>
      <c r="K64" s="265"/>
      <c r="L64" s="209"/>
      <c r="M64" s="209"/>
      <c r="N64" s="158"/>
      <c r="O64" s="158"/>
      <c r="P64" s="209"/>
      <c r="Q64" s="135"/>
      <c r="R64" s="135"/>
      <c r="S64" s="265"/>
      <c r="T64" s="209"/>
      <c r="U64" s="209"/>
      <c r="V64" s="209"/>
      <c r="W64" s="209"/>
      <c r="X64" s="209"/>
      <c r="Y64" s="252"/>
      <c r="AB64" s="538"/>
      <c r="AJ64" s="217"/>
      <c r="AK64" s="217"/>
    </row>
    <row r="65" spans="1:36" ht="13.5" customHeight="1" x14ac:dyDescent="0.25">
      <c r="A65" s="179"/>
      <c r="B65" s="249"/>
      <c r="C65" s="277" t="s">
        <v>222</v>
      </c>
      <c r="D65" s="233"/>
      <c r="E65" s="250"/>
      <c r="F65" s="219"/>
      <c r="G65" s="219"/>
      <c r="I65" s="183"/>
      <c r="J65" s="183"/>
      <c r="K65" s="183"/>
      <c r="L65" s="183"/>
      <c r="M65" s="183"/>
      <c r="N65" s="183"/>
      <c r="O65" s="183"/>
      <c r="P65" s="217"/>
      <c r="Q65" s="217"/>
      <c r="R65" s="22"/>
      <c r="S65" s="22"/>
      <c r="T65" s="22"/>
      <c r="U65" s="183"/>
      <c r="V65" s="183"/>
      <c r="W65" s="183"/>
      <c r="X65" s="183"/>
      <c r="Y65" s="218"/>
      <c r="AB65" s="124"/>
      <c r="AC65" s="124"/>
      <c r="AD65" s="124"/>
      <c r="AE65" s="124"/>
      <c r="AF65" s="135"/>
      <c r="AG65" s="136"/>
      <c r="AH65" s="137"/>
      <c r="AI65" s="137"/>
    </row>
    <row r="66" spans="1:36" ht="14.25" customHeight="1" x14ac:dyDescent="0.25">
      <c r="A66" s="179"/>
      <c r="B66" s="249"/>
      <c r="C66" s="277" t="s">
        <v>404</v>
      </c>
      <c r="D66" s="717"/>
      <c r="E66" s="215"/>
      <c r="F66" s="158"/>
      <c r="G66" s="158"/>
      <c r="H66" s="293"/>
      <c r="I66" s="143"/>
      <c r="J66" s="143"/>
      <c r="K66" s="143"/>
      <c r="L66" s="143"/>
      <c r="M66" s="143"/>
      <c r="N66" s="143"/>
      <c r="O66" s="183"/>
      <c r="P66" s="217"/>
      <c r="Q66" s="217"/>
      <c r="R66" s="22"/>
      <c r="S66" s="22"/>
      <c r="T66" s="22"/>
      <c r="U66" s="183"/>
      <c r="V66" s="183"/>
      <c r="W66" s="183"/>
      <c r="X66" s="183"/>
      <c r="Y66" s="218"/>
      <c r="AB66" s="124"/>
      <c r="AC66" s="124"/>
      <c r="AD66" s="124"/>
      <c r="AE66" s="124"/>
      <c r="AF66" s="135"/>
      <c r="AG66" s="136"/>
      <c r="AH66" s="530"/>
      <c r="AI66" s="530"/>
    </row>
    <row r="67" spans="1:36" ht="9" customHeight="1" x14ac:dyDescent="0.25">
      <c r="A67" s="179"/>
      <c r="B67" s="249"/>
      <c r="C67" s="277"/>
      <c r="D67" s="717"/>
      <c r="E67" s="215"/>
      <c r="F67" s="158"/>
      <c r="G67" s="158"/>
      <c r="H67" s="293"/>
      <c r="I67" s="143"/>
      <c r="J67" s="143"/>
      <c r="K67" s="143"/>
      <c r="L67" s="143"/>
      <c r="M67" s="143"/>
      <c r="N67" s="143"/>
      <c r="O67" s="183"/>
      <c r="P67" s="217"/>
      <c r="Q67" s="217"/>
      <c r="R67" s="22"/>
      <c r="S67" s="22"/>
      <c r="T67" s="22"/>
      <c r="U67" s="183"/>
      <c r="V67" s="183"/>
      <c r="W67" s="183"/>
      <c r="X67" s="183"/>
      <c r="Y67" s="218"/>
      <c r="AB67" s="124"/>
      <c r="AC67" s="124"/>
      <c r="AD67" s="124"/>
      <c r="AE67" s="124"/>
      <c r="AF67" s="707"/>
      <c r="AG67" s="136"/>
      <c r="AH67" s="708"/>
      <c r="AI67" s="708"/>
    </row>
    <row r="68" spans="1:36" ht="21" customHeight="1" x14ac:dyDescent="0.25">
      <c r="A68" s="179"/>
      <c r="B68" s="815"/>
      <c r="C68" s="1106" t="str">
        <f>IF(Dados!U154="não","Foi declarado que as distâncias horizontais, altura do fundo falso e demais determinações da NORMA não foram atendidas","Foi declarado que as distâncias horizontais, altura do fundo falso e demais determinações da NORMA foram atendidas")</f>
        <v>Foi declarado que as distâncias horizontais, altura do fundo falso e demais determinações da NORMA foram atendidas</v>
      </c>
      <c r="D68" s="1106"/>
      <c r="E68" s="1106"/>
      <c r="F68" s="1106"/>
      <c r="G68" s="1106"/>
      <c r="H68" s="1106"/>
      <c r="I68" s="1106"/>
      <c r="J68" s="1106"/>
      <c r="K68" s="1106"/>
      <c r="L68" s="1106"/>
      <c r="M68" s="1106"/>
      <c r="N68" s="1106"/>
      <c r="O68" s="1106"/>
      <c r="P68" s="1106"/>
      <c r="Q68" s="1106"/>
      <c r="R68" s="1106"/>
      <c r="S68" s="1106"/>
      <c r="T68" s="1106"/>
      <c r="U68" s="1106"/>
      <c r="V68" s="1106"/>
      <c r="W68" s="1106"/>
      <c r="X68" s="1106"/>
      <c r="Y68" s="218"/>
      <c r="AB68" s="124"/>
      <c r="AC68" s="124"/>
      <c r="AD68" s="124"/>
      <c r="AE68" s="124"/>
      <c r="AF68" s="135"/>
      <c r="AG68" s="136"/>
      <c r="AH68" s="530"/>
      <c r="AI68" s="530"/>
    </row>
    <row r="69" spans="1:36" ht="3" customHeight="1" x14ac:dyDescent="0.25">
      <c r="A69" s="179"/>
      <c r="B69" s="249"/>
      <c r="C69" s="737"/>
      <c r="D69" s="737"/>
      <c r="E69" s="737"/>
      <c r="F69" s="737"/>
      <c r="G69" s="737"/>
      <c r="H69" s="737"/>
      <c r="I69" s="737"/>
      <c r="J69" s="737"/>
      <c r="K69" s="737"/>
      <c r="L69" s="737"/>
      <c r="M69" s="737"/>
      <c r="N69" s="737"/>
      <c r="O69" s="737"/>
      <c r="P69" s="737"/>
      <c r="Q69" s="737"/>
      <c r="R69" s="737"/>
      <c r="S69" s="737"/>
      <c r="T69" s="737"/>
      <c r="U69" s="737"/>
      <c r="V69" s="737"/>
      <c r="X69" s="183"/>
      <c r="Y69" s="218"/>
      <c r="AB69" s="124"/>
      <c r="AC69" s="124"/>
      <c r="AD69" s="124"/>
      <c r="AE69" s="124"/>
      <c r="AF69" s="711"/>
      <c r="AG69" s="136"/>
      <c r="AH69" s="736"/>
      <c r="AI69" s="736"/>
    </row>
    <row r="70" spans="1:36" ht="5.25" customHeight="1" x14ac:dyDescent="0.25">
      <c r="A70" s="179"/>
      <c r="B70" s="551"/>
      <c r="C70" s="231"/>
      <c r="D70" s="239"/>
      <c r="E70" s="582"/>
      <c r="F70" s="552"/>
      <c r="G70" s="552"/>
      <c r="H70" s="583"/>
      <c r="I70" s="584"/>
      <c r="J70" s="584"/>
      <c r="K70" s="584"/>
      <c r="L70" s="584"/>
      <c r="M70" s="584"/>
      <c r="N70" s="584"/>
      <c r="O70" s="584"/>
      <c r="P70" s="243"/>
      <c r="Q70" s="243"/>
      <c r="R70" s="583"/>
      <c r="S70" s="583"/>
      <c r="T70" s="583"/>
      <c r="U70" s="584"/>
      <c r="V70" s="584"/>
      <c r="W70" s="584"/>
      <c r="X70" s="584"/>
      <c r="Y70" s="554"/>
      <c r="AB70" s="124"/>
      <c r="AC70" s="124"/>
      <c r="AD70" s="124"/>
      <c r="AE70" s="124"/>
      <c r="AF70" s="135"/>
      <c r="AG70" s="136"/>
      <c r="AH70" s="530"/>
      <c r="AI70" s="530"/>
    </row>
    <row r="71" spans="1:36" ht="4.5" customHeight="1" x14ac:dyDescent="0.25">
      <c r="A71" s="179"/>
      <c r="B71" s="196"/>
      <c r="C71" s="219"/>
      <c r="D71" s="219"/>
      <c r="E71" s="219"/>
      <c r="F71" s="219"/>
      <c r="G71" s="219"/>
      <c r="H71" s="219"/>
      <c r="I71" s="219"/>
      <c r="J71" s="220"/>
      <c r="K71" s="220"/>
      <c r="L71" s="217"/>
      <c r="M71" s="217"/>
      <c r="N71" s="217"/>
      <c r="O71" s="200"/>
      <c r="P71" s="193"/>
      <c r="Q71" s="193"/>
      <c r="R71" s="193"/>
      <c r="S71" s="193"/>
      <c r="T71" s="193"/>
      <c r="U71" s="209"/>
      <c r="V71" s="209"/>
      <c r="W71" s="209"/>
      <c r="X71" s="209"/>
      <c r="Y71" s="357"/>
      <c r="AB71" s="124"/>
    </row>
    <row r="72" spans="1:36" ht="6.75" customHeight="1" x14ac:dyDescent="0.25">
      <c r="A72" s="179"/>
      <c r="B72" s="558"/>
      <c r="C72" s="211"/>
      <c r="D72" s="211"/>
      <c r="E72" s="211"/>
      <c r="F72" s="211"/>
      <c r="G72" s="211"/>
      <c r="H72" s="211"/>
      <c r="I72" s="211"/>
      <c r="J72" s="212"/>
      <c r="K72" s="212"/>
      <c r="L72" s="548"/>
      <c r="M72" s="548"/>
      <c r="N72" s="548"/>
      <c r="O72" s="559"/>
      <c r="P72" s="545"/>
      <c r="Q72" s="545"/>
      <c r="R72" s="545"/>
      <c r="S72" s="545"/>
      <c r="T72" s="545"/>
      <c r="U72" s="213"/>
      <c r="V72" s="213"/>
      <c r="W72" s="213"/>
      <c r="X72" s="213"/>
      <c r="Y72" s="214"/>
      <c r="AB72" s="124"/>
    </row>
    <row r="73" spans="1:36" ht="12" customHeight="1" x14ac:dyDescent="0.25">
      <c r="A73" s="183"/>
      <c r="B73" s="249"/>
      <c r="C73" s="303" t="s">
        <v>105</v>
      </c>
      <c r="D73" s="555"/>
      <c r="E73" s="217" t="s">
        <v>298</v>
      </c>
      <c r="F73" s="555"/>
      <c r="H73" s="1094">
        <f>IF(Dados!R157="sumidouro",Dados!U163,"----")</f>
        <v>800</v>
      </c>
      <c r="I73" s="1095"/>
      <c r="J73" s="1095"/>
      <c r="K73" s="1096"/>
      <c r="L73" s="550"/>
      <c r="M73" s="538" t="s">
        <v>418</v>
      </c>
      <c r="N73" s="217"/>
      <c r="O73" s="200"/>
      <c r="P73" s="193"/>
      <c r="Q73" s="817"/>
      <c r="R73" s="209"/>
      <c r="S73" s="209"/>
      <c r="Y73" s="218"/>
      <c r="AB73" s="124"/>
      <c r="AC73" s="550"/>
      <c r="AG73" s="209"/>
      <c r="AH73" s="209"/>
      <c r="AI73" s="209"/>
      <c r="AJ73" s="209"/>
    </row>
    <row r="74" spans="1:36" ht="2.25" customHeight="1" x14ac:dyDescent="0.25">
      <c r="A74" s="179"/>
      <c r="B74" s="249"/>
      <c r="C74" s="219"/>
      <c r="D74" s="219"/>
      <c r="E74" s="219"/>
      <c r="F74" s="219"/>
      <c r="G74" s="219"/>
      <c r="H74" s="219"/>
      <c r="I74" s="219"/>
      <c r="J74" s="220"/>
      <c r="K74" s="220"/>
      <c r="L74" s="217"/>
      <c r="M74" s="217"/>
      <c r="N74" s="217"/>
      <c r="O74" s="200"/>
      <c r="P74" s="193"/>
      <c r="Q74" s="193"/>
      <c r="R74" s="193"/>
      <c r="S74" s="193"/>
      <c r="T74" s="193"/>
      <c r="U74" s="209"/>
      <c r="V74" s="209"/>
      <c r="W74" s="209"/>
      <c r="X74" s="209"/>
      <c r="Y74" s="218"/>
      <c r="AB74" s="124"/>
    </row>
    <row r="75" spans="1:36" ht="12" customHeight="1" x14ac:dyDescent="0.25">
      <c r="A75" s="179"/>
      <c r="B75" s="249"/>
      <c r="C75" s="217"/>
      <c r="D75" s="158"/>
      <c r="E75" s="539" t="s">
        <v>309</v>
      </c>
      <c r="F75" s="183"/>
      <c r="G75" s="539"/>
      <c r="H75" s="1147">
        <f>IF(Dados!R157="sumidouro",Dados!U170,"----")</f>
        <v>13.333333333333334</v>
      </c>
      <c r="I75" s="1148"/>
      <c r="J75" s="1148"/>
      <c r="K75" s="1149"/>
      <c r="M75" s="818" t="s">
        <v>419</v>
      </c>
      <c r="N75" s="116"/>
      <c r="O75" s="817"/>
      <c r="P75" s="116"/>
      <c r="Q75" s="116"/>
      <c r="T75" s="1094">
        <f>IF(Dados!R157="sumidouro",Dados!U167,"----")</f>
        <v>0.06</v>
      </c>
      <c r="U75" s="1095"/>
      <c r="V75" s="1095"/>
      <c r="W75" s="1095"/>
      <c r="X75" s="1096"/>
      <c r="Y75" s="218"/>
      <c r="AC75" s="217"/>
      <c r="AD75" s="217"/>
      <c r="AE75" s="217"/>
      <c r="AF75" s="217"/>
    </row>
    <row r="76" spans="1:36" ht="5.25" customHeight="1" x14ac:dyDescent="0.25">
      <c r="A76" s="179"/>
      <c r="B76" s="249"/>
      <c r="C76" s="217"/>
      <c r="D76" s="158"/>
      <c r="E76" s="158"/>
      <c r="F76" s="158"/>
      <c r="G76" s="217"/>
      <c r="H76" s="217"/>
      <c r="I76" s="217"/>
      <c r="J76" s="217"/>
      <c r="K76" s="217"/>
      <c r="L76" s="221"/>
      <c r="M76" s="266"/>
      <c r="N76" s="266"/>
      <c r="O76" s="267"/>
      <c r="P76" s="528"/>
      <c r="Q76" s="528"/>
      <c r="R76" s="528"/>
      <c r="S76" s="528"/>
      <c r="T76" s="528"/>
      <c r="U76" s="528"/>
      <c r="V76" s="268"/>
      <c r="W76" s="268"/>
      <c r="X76" s="268"/>
      <c r="Y76" s="218"/>
    </row>
    <row r="77" spans="1:36" ht="13.5" customHeight="1" x14ac:dyDescent="0.25">
      <c r="A77" s="179"/>
      <c r="B77" s="253"/>
      <c r="C77" s="1160" t="s">
        <v>72</v>
      </c>
      <c r="D77" s="1161"/>
      <c r="E77" s="1161"/>
      <c r="F77" s="1161"/>
      <c r="G77" s="1162"/>
      <c r="H77" s="1110" t="s">
        <v>73</v>
      </c>
      <c r="I77" s="1111"/>
      <c r="J77" s="1111"/>
      <c r="K77" s="1111"/>
      <c r="L77" s="1111"/>
      <c r="M77" s="1111"/>
      <c r="N77" s="1112"/>
      <c r="O77" s="1154" t="s">
        <v>34</v>
      </c>
      <c r="P77" s="1155"/>
      <c r="Q77" s="1156"/>
      <c r="R77" s="1154" t="s">
        <v>90</v>
      </c>
      <c r="S77" s="1155"/>
      <c r="T77" s="1155"/>
      <c r="U77" s="1155"/>
      <c r="V77" s="1155"/>
      <c r="W77" s="1155"/>
      <c r="X77" s="1156"/>
      <c r="Y77" s="218"/>
    </row>
    <row r="78" spans="1:36" ht="12.75" customHeight="1" x14ac:dyDescent="0.25">
      <c r="A78" s="179"/>
      <c r="B78" s="253"/>
      <c r="C78" s="1180"/>
      <c r="D78" s="1181"/>
      <c r="E78" s="1181"/>
      <c r="F78" s="1181"/>
      <c r="G78" s="1182"/>
      <c r="H78" s="1107" t="s">
        <v>75</v>
      </c>
      <c r="I78" s="1108"/>
      <c r="J78" s="1108"/>
      <c r="K78" s="1109"/>
      <c r="L78" s="1107" t="s">
        <v>76</v>
      </c>
      <c r="M78" s="1108"/>
      <c r="N78" s="1109"/>
      <c r="O78" s="1157"/>
      <c r="P78" s="1158"/>
      <c r="Q78" s="1159"/>
      <c r="R78" s="1157"/>
      <c r="S78" s="1158"/>
      <c r="T78" s="1158"/>
      <c r="U78" s="1158"/>
      <c r="V78" s="1158"/>
      <c r="W78" s="1158"/>
      <c r="X78" s="1159"/>
      <c r="Y78" s="218"/>
    </row>
    <row r="79" spans="1:36" ht="14.25" customHeight="1" x14ac:dyDescent="0.25">
      <c r="A79" s="179"/>
      <c r="B79" s="141"/>
      <c r="C79" s="1193" t="s">
        <v>91</v>
      </c>
      <c r="D79" s="1193"/>
      <c r="E79" s="1193"/>
      <c r="F79" s="1193"/>
      <c r="G79" s="1193"/>
      <c r="H79" s="1100">
        <f>Dados!Q185</f>
        <v>1</v>
      </c>
      <c r="I79" s="1101"/>
      <c r="J79" s="1101"/>
      <c r="K79" s="1102"/>
      <c r="L79" s="1126" t="str">
        <f>Dados!R185</f>
        <v>----</v>
      </c>
      <c r="M79" s="1127"/>
      <c r="N79" s="1128"/>
      <c r="O79" s="1100">
        <f>IF(Dados!R157="sumidouro",Dados!S185,"----")</f>
        <v>1.5</v>
      </c>
      <c r="P79" s="1101"/>
      <c r="Q79" s="1102"/>
      <c r="R79" s="1125" t="str">
        <f>IF(Dados!R157="sumidouro",Dados!T185,"----")</f>
        <v>Atende</v>
      </c>
      <c r="S79" s="1125"/>
      <c r="T79" s="1125"/>
      <c r="U79" s="1125"/>
      <c r="V79" s="1125"/>
      <c r="W79" s="1125"/>
      <c r="X79" s="1125"/>
      <c r="Y79" s="218"/>
      <c r="AH79" s="209"/>
      <c r="AI79" s="209"/>
      <c r="AJ79" s="209"/>
    </row>
    <row r="80" spans="1:36" ht="14.25" customHeight="1" x14ac:dyDescent="0.25">
      <c r="A80" s="179"/>
      <c r="B80" s="141"/>
      <c r="C80" s="1130" t="s">
        <v>94</v>
      </c>
      <c r="D80" s="1131"/>
      <c r="E80" s="1131"/>
      <c r="F80" s="1131"/>
      <c r="G80" s="1132"/>
      <c r="H80" s="1100" t="str">
        <f>Dados!Q186</f>
        <v>----</v>
      </c>
      <c r="I80" s="1101"/>
      <c r="J80" s="1101"/>
      <c r="K80" s="1102"/>
      <c r="L80" s="1126">
        <f>Dados!R186</f>
        <v>3.5</v>
      </c>
      <c r="M80" s="1127"/>
      <c r="N80" s="1128"/>
      <c r="O80" s="1100">
        <f>IF(Dados!R157="sumidouro",Dados!S186,"----")</f>
        <v>2</v>
      </c>
      <c r="P80" s="1101"/>
      <c r="Q80" s="1102"/>
      <c r="R80" s="1125" t="str">
        <f>IF(Dados!R157="sumidouro",Dados!T186,"----")</f>
        <v>Atende</v>
      </c>
      <c r="S80" s="1125"/>
      <c r="T80" s="1125"/>
      <c r="U80" s="1125"/>
      <c r="V80" s="1125"/>
      <c r="W80" s="1125"/>
      <c r="X80" s="1125"/>
      <c r="Y80" s="271"/>
    </row>
    <row r="81" spans="1:34" ht="14.25" customHeight="1" x14ac:dyDescent="0.25">
      <c r="A81" s="179"/>
      <c r="B81" s="141"/>
      <c r="C81" s="576" t="s">
        <v>290</v>
      </c>
      <c r="D81" s="576"/>
      <c r="E81" s="547"/>
      <c r="F81" s="547"/>
      <c r="G81" s="547"/>
      <c r="H81" s="1198" t="s">
        <v>92</v>
      </c>
      <c r="I81" s="1199"/>
      <c r="J81" s="1199"/>
      <c r="K81" s="1200"/>
      <c r="L81" s="1126" t="s">
        <v>92</v>
      </c>
      <c r="M81" s="1127"/>
      <c r="N81" s="1128"/>
      <c r="O81" s="1100">
        <f>IF(Dados!R157="sumidouro",Dados!U170,"----")</f>
        <v>13.333333333333334</v>
      </c>
      <c r="P81" s="1101"/>
      <c r="Q81" s="1102"/>
      <c r="R81" s="1143" t="s">
        <v>92</v>
      </c>
      <c r="S81" s="1143"/>
      <c r="T81" s="1143"/>
      <c r="U81" s="1143"/>
      <c r="V81" s="1143"/>
      <c r="W81" s="1143"/>
      <c r="X81" s="1143"/>
      <c r="Y81" s="151"/>
      <c r="AD81" s="138"/>
    </row>
    <row r="82" spans="1:34" ht="14.25" customHeight="1" x14ac:dyDescent="0.25">
      <c r="A82" s="179"/>
      <c r="B82" s="141"/>
      <c r="C82" s="275" t="s">
        <v>136</v>
      </c>
      <c r="D82" s="225"/>
      <c r="E82" s="269"/>
      <c r="F82" s="269"/>
      <c r="G82" s="270"/>
      <c r="H82" s="1198" t="s">
        <v>92</v>
      </c>
      <c r="I82" s="1199"/>
      <c r="J82" s="1199"/>
      <c r="K82" s="1200"/>
      <c r="L82" s="1126" t="s">
        <v>92</v>
      </c>
      <c r="M82" s="1127"/>
      <c r="N82" s="1128"/>
      <c r="O82" s="1195">
        <f>IF(Dados!R157="sumidouro",IF(Dados!Q177="sim",Dados!S177,"1"),"----")</f>
        <v>2</v>
      </c>
      <c r="P82" s="1196"/>
      <c r="Q82" s="1197"/>
      <c r="R82" s="1143" t="s">
        <v>92</v>
      </c>
      <c r="S82" s="1143"/>
      <c r="T82" s="1143"/>
      <c r="U82" s="1143"/>
      <c r="V82" s="1143"/>
      <c r="W82" s="1143"/>
      <c r="X82" s="1143"/>
      <c r="Y82" s="151"/>
    </row>
    <row r="83" spans="1:34" ht="14.25" customHeight="1" x14ac:dyDescent="0.25">
      <c r="A83" s="179"/>
      <c r="B83" s="141"/>
      <c r="C83" s="276" t="s">
        <v>117</v>
      </c>
      <c r="D83" s="277"/>
      <c r="E83" s="272"/>
      <c r="F83" s="272"/>
      <c r="G83" s="273"/>
      <c r="H83" s="1100">
        <f>IF(Dados!R157="sumidouro",Dados!U170,"----")</f>
        <v>13.333333333333334</v>
      </c>
      <c r="I83" s="1101"/>
      <c r="J83" s="1101"/>
      <c r="K83" s="1102"/>
      <c r="L83" s="1126" t="s">
        <v>92</v>
      </c>
      <c r="M83" s="1127"/>
      <c r="N83" s="1128"/>
      <c r="O83" s="1100">
        <f>IF(Dados!R157="sumidouro",IF(Dados!Q177="não",Dados!U174,Dados!U178),"----")</f>
        <v>22.4</v>
      </c>
      <c r="P83" s="1101"/>
      <c r="Q83" s="1102"/>
      <c r="R83" s="1125" t="str">
        <f>IF(Dados!R157="sumidouro",Dados!T187,"----")</f>
        <v>Atende</v>
      </c>
      <c r="S83" s="1125"/>
      <c r="T83" s="1125"/>
      <c r="U83" s="1125"/>
      <c r="V83" s="1125"/>
      <c r="W83" s="1125"/>
      <c r="X83" s="1125"/>
      <c r="Y83" s="151"/>
    </row>
    <row r="84" spans="1:34" ht="14.25" customHeight="1" x14ac:dyDescent="0.25">
      <c r="A84" s="179"/>
      <c r="B84" s="141"/>
      <c r="C84" s="278" t="s">
        <v>375</v>
      </c>
      <c r="D84" s="279"/>
      <c r="E84" s="269"/>
      <c r="F84" s="269"/>
      <c r="G84" s="269"/>
      <c r="H84" s="1100">
        <f>IF(Dados!R157="Sumidouro",1.5,"----")</f>
        <v>1.5</v>
      </c>
      <c r="I84" s="1101"/>
      <c r="J84" s="1101"/>
      <c r="K84" s="1102"/>
      <c r="L84" s="1126" t="s">
        <v>92</v>
      </c>
      <c r="M84" s="1127"/>
      <c r="N84" s="1128"/>
      <c r="O84" s="1100" t="str">
        <f>IF(Dados!R157="sumidouro",Dados!S181,"----")</f>
        <v>&gt; 1,50m</v>
      </c>
      <c r="P84" s="1101"/>
      <c r="Q84" s="1102"/>
      <c r="R84" s="1125" t="str">
        <f>IF(Dados!R157="sumidouro",Dados!BL138,"----")</f>
        <v>Atende</v>
      </c>
      <c r="S84" s="1125"/>
      <c r="T84" s="1125"/>
      <c r="U84" s="1125"/>
      <c r="V84" s="1125"/>
      <c r="W84" s="1125"/>
      <c r="X84" s="1125"/>
      <c r="Y84" s="252"/>
    </row>
    <row r="85" spans="1:34" ht="6" customHeight="1" x14ac:dyDescent="0.25">
      <c r="A85" s="179"/>
      <c r="B85" s="319"/>
      <c r="C85" s="306"/>
      <c r="D85" s="306"/>
      <c r="E85" s="307"/>
      <c r="F85" s="307"/>
      <c r="G85" s="307"/>
      <c r="H85" s="307"/>
      <c r="I85" s="308"/>
      <c r="J85" s="308"/>
      <c r="K85" s="308"/>
      <c r="L85" s="309"/>
      <c r="M85" s="309"/>
      <c r="N85" s="22"/>
      <c r="O85" s="1194"/>
      <c r="P85" s="1194"/>
      <c r="Q85" s="1194"/>
      <c r="R85" s="1194"/>
      <c r="S85" s="1194"/>
      <c r="T85" s="1194"/>
      <c r="U85" s="1194"/>
      <c r="V85" s="1194"/>
      <c r="W85" s="356"/>
      <c r="X85" s="356"/>
      <c r="Y85" s="252"/>
    </row>
    <row r="86" spans="1:34" ht="11.25" customHeight="1" x14ac:dyDescent="0.25">
      <c r="A86" s="179"/>
      <c r="B86" s="319"/>
      <c r="C86" s="572" t="s">
        <v>287</v>
      </c>
      <c r="D86" s="306"/>
      <c r="E86" s="307"/>
      <c r="F86" s="307"/>
      <c r="G86" s="307"/>
      <c r="H86" s="307"/>
      <c r="I86" s="308"/>
      <c r="J86" s="308"/>
      <c r="K86" s="308"/>
      <c r="L86" s="309"/>
      <c r="M86" s="309"/>
      <c r="N86" s="22"/>
      <c r="O86" s="556"/>
      <c r="P86" s="556"/>
      <c r="Q86" s="556"/>
      <c r="R86" s="556"/>
      <c r="S86" s="556"/>
      <c r="T86" s="556"/>
      <c r="U86" s="556"/>
      <c r="V86" s="556"/>
      <c r="W86" s="557"/>
      <c r="X86" s="557"/>
      <c r="Y86" s="252"/>
    </row>
    <row r="87" spans="1:34" ht="5.25" customHeight="1" x14ac:dyDescent="0.25">
      <c r="A87" s="179"/>
      <c r="B87" s="319"/>
      <c r="C87" s="570"/>
      <c r="D87" s="306"/>
      <c r="E87" s="307"/>
      <c r="F87" s="307"/>
      <c r="G87" s="307"/>
      <c r="H87" s="307"/>
      <c r="I87" s="308"/>
      <c r="J87" s="308"/>
      <c r="K87" s="308"/>
      <c r="L87" s="309"/>
      <c r="M87" s="309"/>
      <c r="N87" s="22"/>
      <c r="O87" s="556"/>
      <c r="P87" s="556"/>
      <c r="Q87" s="556"/>
      <c r="R87" s="556"/>
      <c r="S87" s="556"/>
      <c r="T87" s="556"/>
      <c r="U87" s="556"/>
      <c r="V87" s="556"/>
      <c r="W87" s="557"/>
      <c r="X87" s="557"/>
      <c r="Y87" s="252"/>
    </row>
    <row r="88" spans="1:34" ht="13.5" customHeight="1" x14ac:dyDescent="0.25">
      <c r="A88" s="179"/>
      <c r="B88" s="319"/>
      <c r="C88" s="572" t="s">
        <v>292</v>
      </c>
      <c r="D88" s="306"/>
      <c r="E88" s="307"/>
      <c r="F88" s="307"/>
      <c r="G88" s="307"/>
      <c r="H88" s="307"/>
      <c r="I88" s="308"/>
      <c r="J88" s="308"/>
      <c r="K88" s="308"/>
      <c r="L88" s="309"/>
      <c r="M88" s="309"/>
      <c r="N88" s="143"/>
      <c r="O88" s="556"/>
      <c r="P88" s="556"/>
      <c r="Q88" s="556"/>
      <c r="R88" s="556"/>
      <c r="S88" s="556"/>
      <c r="T88" s="556"/>
      <c r="U88" s="556"/>
      <c r="V88" s="556"/>
      <c r="W88" s="557"/>
      <c r="X88" s="557"/>
      <c r="Y88" s="252"/>
      <c r="AD88" s="217"/>
      <c r="AE88" s="217"/>
      <c r="AF88" s="217"/>
      <c r="AG88" s="217"/>
      <c r="AH88" s="217"/>
    </row>
    <row r="89" spans="1:34" ht="13.5" customHeight="1" x14ac:dyDescent="0.25">
      <c r="A89" s="179"/>
      <c r="B89" s="319"/>
      <c r="C89" s="572" t="s">
        <v>291</v>
      </c>
      <c r="D89" s="306"/>
      <c r="E89" s="307"/>
      <c r="F89" s="307"/>
      <c r="G89" s="307"/>
      <c r="H89" s="307"/>
      <c r="I89" s="308"/>
      <c r="J89" s="308"/>
      <c r="K89" s="308"/>
      <c r="L89" s="309"/>
      <c r="M89" s="309"/>
      <c r="N89" s="143"/>
      <c r="O89" s="556"/>
      <c r="P89" s="556"/>
      <c r="Q89" s="556"/>
      <c r="R89" s="556"/>
      <c r="S89" s="556"/>
      <c r="T89" s="556"/>
      <c r="U89" s="556"/>
      <c r="V89" s="556"/>
      <c r="W89" s="557"/>
      <c r="X89" s="557"/>
      <c r="Y89" s="252"/>
    </row>
    <row r="90" spans="1:34" ht="13.5" customHeight="1" x14ac:dyDescent="0.25">
      <c r="A90" s="179"/>
      <c r="B90" s="319"/>
      <c r="C90" s="572" t="s">
        <v>293</v>
      </c>
      <c r="D90" s="306"/>
      <c r="E90" s="307"/>
      <c r="F90" s="307"/>
      <c r="G90" s="307"/>
      <c r="H90" s="307"/>
      <c r="I90" s="308"/>
      <c r="J90" s="308"/>
      <c r="K90" s="308"/>
      <c r="L90" s="309"/>
      <c r="M90" s="309"/>
      <c r="N90" s="143"/>
      <c r="O90" s="556"/>
      <c r="P90" s="556"/>
      <c r="Q90" s="556"/>
      <c r="R90" s="556"/>
      <c r="S90" s="556"/>
      <c r="T90" s="556"/>
      <c r="U90" s="556"/>
      <c r="V90" s="556"/>
      <c r="W90" s="557"/>
      <c r="X90" s="557"/>
      <c r="Y90" s="252"/>
    </row>
    <row r="91" spans="1:34" ht="13.5" customHeight="1" x14ac:dyDescent="0.25">
      <c r="A91" s="179"/>
      <c r="B91" s="319"/>
      <c r="C91" s="572" t="s">
        <v>334</v>
      </c>
      <c r="D91" s="306"/>
      <c r="E91" s="307"/>
      <c r="F91" s="307"/>
      <c r="G91" s="307"/>
      <c r="H91" s="307"/>
      <c r="I91" s="308"/>
      <c r="J91" s="308"/>
      <c r="K91" s="308"/>
      <c r="L91" s="309"/>
      <c r="M91" s="309"/>
      <c r="N91" s="143"/>
      <c r="O91" s="556"/>
      <c r="P91" s="556"/>
      <c r="Q91" s="556"/>
      <c r="R91" s="556"/>
      <c r="S91" s="556"/>
      <c r="T91" s="556"/>
      <c r="U91" s="556"/>
      <c r="V91" s="556"/>
      <c r="W91" s="557"/>
      <c r="X91" s="557"/>
      <c r="Y91" s="252"/>
    </row>
    <row r="92" spans="1:34" ht="13.5" customHeight="1" x14ac:dyDescent="0.25">
      <c r="A92" s="179"/>
      <c r="B92" s="319"/>
      <c r="C92" s="272" t="s">
        <v>249</v>
      </c>
      <c r="D92" s="306"/>
      <c r="E92" s="307"/>
      <c r="F92" s="307"/>
      <c r="G92" s="307"/>
      <c r="H92" s="307"/>
      <c r="I92" s="308"/>
      <c r="J92" s="308"/>
      <c r="K92" s="308"/>
      <c r="L92" s="309"/>
      <c r="M92" s="309"/>
      <c r="N92" s="143"/>
      <c r="O92" s="556"/>
      <c r="P92" s="556"/>
      <c r="Q92" s="556"/>
      <c r="R92" s="556"/>
      <c r="S92" s="556"/>
      <c r="T92" s="556"/>
      <c r="U92" s="556"/>
      <c r="V92" s="556"/>
      <c r="W92" s="557"/>
      <c r="X92" s="557"/>
      <c r="Y92" s="252"/>
    </row>
    <row r="93" spans="1:34" ht="13.5" customHeight="1" x14ac:dyDescent="0.25">
      <c r="A93" s="179"/>
      <c r="B93" s="319"/>
      <c r="C93" s="272" t="s">
        <v>294</v>
      </c>
      <c r="D93" s="306"/>
      <c r="E93" s="307"/>
      <c r="F93" s="307"/>
      <c r="G93" s="307"/>
      <c r="H93" s="307"/>
      <c r="I93" s="308"/>
      <c r="J93" s="308"/>
      <c r="K93" s="308"/>
      <c r="L93" s="309"/>
      <c r="M93" s="309"/>
      <c r="N93" s="309"/>
      <c r="O93" s="308"/>
      <c r="P93" s="308"/>
      <c r="Q93" s="308"/>
      <c r="R93" s="308"/>
      <c r="S93" s="308"/>
      <c r="T93" s="308"/>
      <c r="U93" s="308"/>
      <c r="V93" s="357"/>
      <c r="W93" s="357"/>
      <c r="X93" s="357"/>
      <c r="Y93" s="252"/>
    </row>
    <row r="94" spans="1:34" ht="13.5" customHeight="1" x14ac:dyDescent="0.25">
      <c r="A94" s="179"/>
      <c r="B94" s="149"/>
      <c r="C94" s="572" t="s">
        <v>295</v>
      </c>
      <c r="D94" s="281"/>
      <c r="E94" s="281"/>
      <c r="F94" s="282"/>
      <c r="G94" s="209"/>
      <c r="H94" s="209"/>
      <c r="I94" s="265"/>
      <c r="J94" s="265"/>
      <c r="K94" s="265"/>
      <c r="L94" s="209"/>
      <c r="M94" s="209"/>
      <c r="N94" s="283"/>
      <c r="O94" s="281"/>
      <c r="P94" s="281"/>
      <c r="Q94" s="281"/>
      <c r="R94" s="281"/>
      <c r="S94" s="265"/>
      <c r="T94" s="209"/>
      <c r="U94" s="209"/>
      <c r="V94" s="209"/>
      <c r="W94" s="209"/>
      <c r="X94" s="209"/>
      <c r="Y94" s="560"/>
    </row>
    <row r="95" spans="1:34" ht="13.5" customHeight="1" x14ac:dyDescent="0.25">
      <c r="A95" s="179"/>
      <c r="B95" s="149"/>
      <c r="C95" s="572" t="s">
        <v>297</v>
      </c>
      <c r="D95" s="281"/>
      <c r="E95" s="281"/>
      <c r="F95" s="282"/>
      <c r="G95" s="209"/>
      <c r="H95" s="209"/>
      <c r="I95" s="265"/>
      <c r="J95" s="265"/>
      <c r="K95" s="265"/>
      <c r="L95" s="209"/>
      <c r="M95" s="209"/>
      <c r="N95" s="283"/>
      <c r="O95" s="281"/>
      <c r="P95" s="281"/>
      <c r="Q95" s="281"/>
      <c r="R95" s="281"/>
      <c r="S95" s="265"/>
      <c r="T95" s="209"/>
      <c r="U95" s="209"/>
      <c r="V95" s="209"/>
      <c r="W95" s="209"/>
      <c r="X95" s="209"/>
      <c r="Y95" s="560"/>
    </row>
    <row r="96" spans="1:34" ht="13.5" customHeight="1" x14ac:dyDescent="0.25">
      <c r="A96" s="179"/>
      <c r="B96" s="149"/>
      <c r="C96" s="572" t="s">
        <v>296</v>
      </c>
      <c r="D96" s="281"/>
      <c r="E96" s="281"/>
      <c r="F96" s="282"/>
      <c r="G96" s="209"/>
      <c r="H96" s="209"/>
      <c r="I96" s="265"/>
      <c r="J96" s="265"/>
      <c r="K96" s="265"/>
      <c r="L96" s="209"/>
      <c r="M96" s="209"/>
      <c r="N96" s="283"/>
      <c r="O96" s="281"/>
      <c r="P96" s="281"/>
      <c r="Q96" s="281"/>
      <c r="R96" s="281"/>
      <c r="S96" s="265"/>
      <c r="T96" s="209"/>
      <c r="U96" s="209"/>
      <c r="V96" s="209"/>
      <c r="W96" s="209"/>
      <c r="X96" s="209"/>
      <c r="Y96" s="560"/>
    </row>
    <row r="97" spans="1:45" ht="6" customHeight="1" x14ac:dyDescent="0.25">
      <c r="A97" s="179"/>
      <c r="B97" s="149"/>
      <c r="C97" s="572"/>
      <c r="D97" s="281"/>
      <c r="E97" s="281"/>
      <c r="F97" s="282"/>
      <c r="G97" s="209"/>
      <c r="H97" s="209"/>
      <c r="I97" s="265"/>
      <c r="J97" s="265"/>
      <c r="K97" s="265"/>
      <c r="L97" s="209"/>
      <c r="M97" s="209"/>
      <c r="N97" s="283"/>
      <c r="O97" s="281"/>
      <c r="P97" s="281"/>
      <c r="Q97" s="281"/>
      <c r="R97" s="281"/>
      <c r="S97" s="265"/>
      <c r="T97" s="209"/>
      <c r="U97" s="209"/>
      <c r="V97" s="209"/>
      <c r="W97" s="209"/>
      <c r="X97" s="209"/>
      <c r="Y97" s="560"/>
    </row>
    <row r="98" spans="1:45" ht="12.75" customHeight="1" x14ac:dyDescent="0.25">
      <c r="A98" s="179"/>
      <c r="B98" s="149"/>
      <c r="C98" s="272" t="str">
        <f xml:space="preserve"> IF(Dados!R157 = "sumidouro",IF(Dados!U202="sim","Foi declarado que as distâncias mínimas e demais determinações da NORMA foram atendidas","Foi declarado que as distâncias mínimas e demais determinações da NORMA não foram atendidas")," ")</f>
        <v>Foi declarado que as distâncias mínimas e demais determinações da NORMA não foram atendidas</v>
      </c>
      <c r="D98" s="738"/>
      <c r="E98" s="738"/>
      <c r="F98" s="739"/>
      <c r="G98" s="740"/>
      <c r="H98" s="740"/>
      <c r="I98" s="741"/>
      <c r="J98" s="741"/>
      <c r="K98" s="741"/>
      <c r="L98" s="117"/>
      <c r="M98" s="117"/>
      <c r="N98" s="742"/>
      <c r="O98" s="742"/>
      <c r="P98" s="742"/>
      <c r="Q98" s="742"/>
      <c r="R98" s="742"/>
      <c r="S98" s="742"/>
      <c r="T98" s="742"/>
      <c r="U98" s="743"/>
      <c r="V98" s="740"/>
      <c r="W98" s="740"/>
      <c r="X98" s="740"/>
      <c r="Y98" s="560"/>
    </row>
    <row r="99" spans="1:45" ht="6" customHeight="1" x14ac:dyDescent="0.25">
      <c r="A99" s="179"/>
      <c r="B99" s="561"/>
      <c r="C99" s="573"/>
      <c r="D99" s="562"/>
      <c r="E99" s="562"/>
      <c r="F99" s="563"/>
      <c r="G99" s="553"/>
      <c r="H99" s="553"/>
      <c r="I99" s="564"/>
      <c r="J99" s="564"/>
      <c r="K99" s="564"/>
      <c r="L99" s="553"/>
      <c r="M99" s="553"/>
      <c r="N99" s="565"/>
      <c r="O99" s="562"/>
      <c r="P99" s="562"/>
      <c r="Q99" s="562"/>
      <c r="R99" s="562"/>
      <c r="S99" s="564"/>
      <c r="T99" s="553"/>
      <c r="U99" s="553"/>
      <c r="V99" s="553"/>
      <c r="W99" s="553"/>
      <c r="X99" s="553"/>
      <c r="Y99" s="566"/>
    </row>
    <row r="100" spans="1:45" ht="3" customHeight="1" x14ac:dyDescent="0.25">
      <c r="A100" s="179"/>
      <c r="B100" s="142"/>
      <c r="C100" s="570"/>
      <c r="D100" s="281"/>
      <c r="E100" s="281"/>
      <c r="F100" s="282"/>
      <c r="G100" s="209"/>
      <c r="H100" s="209"/>
      <c r="I100" s="265"/>
      <c r="J100" s="265"/>
      <c r="K100" s="265"/>
      <c r="L100" s="209"/>
      <c r="M100" s="209"/>
      <c r="N100" s="283"/>
      <c r="O100" s="281"/>
      <c r="P100" s="281"/>
      <c r="Q100" s="281"/>
      <c r="R100" s="281"/>
      <c r="S100" s="265"/>
      <c r="T100" s="209"/>
      <c r="U100" s="209"/>
      <c r="V100" s="209"/>
      <c r="W100" s="209"/>
      <c r="X100" s="209"/>
      <c r="Y100" s="143"/>
    </row>
    <row r="101" spans="1:45" ht="6.75" customHeight="1" x14ac:dyDescent="0.25">
      <c r="A101" s="280"/>
      <c r="B101" s="284"/>
      <c r="C101" s="577"/>
      <c r="D101" s="144"/>
      <c r="E101" s="144"/>
      <c r="F101" s="144"/>
      <c r="G101" s="285"/>
      <c r="H101" s="285"/>
      <c r="I101" s="285"/>
      <c r="J101" s="285"/>
      <c r="K101" s="285"/>
      <c r="L101" s="285"/>
      <c r="M101" s="285"/>
      <c r="N101" s="247"/>
      <c r="O101" s="247"/>
      <c r="P101" s="247"/>
      <c r="Q101" s="145"/>
      <c r="R101" s="144"/>
      <c r="S101" s="285"/>
      <c r="T101" s="146"/>
      <c r="U101" s="146"/>
      <c r="V101" s="146"/>
      <c r="W101" s="146"/>
      <c r="X101" s="146"/>
      <c r="Y101" s="147"/>
    </row>
    <row r="102" spans="1:45" s="416" customFormat="1" ht="11.85" customHeight="1" x14ac:dyDescent="0.25">
      <c r="A102" s="601"/>
      <c r="B102" s="602"/>
      <c r="C102" s="816" t="s">
        <v>305</v>
      </c>
      <c r="D102" s="691"/>
      <c r="E102" s="217" t="s">
        <v>298</v>
      </c>
      <c r="F102" s="603"/>
      <c r="G102" s="158"/>
      <c r="H102" s="1094" t="str">
        <f>IF(Dados!R157="Vala de infiltração",Dados!U209,"----")</f>
        <v>----</v>
      </c>
      <c r="I102" s="1095"/>
      <c r="J102" s="1095"/>
      <c r="K102" s="1096"/>
      <c r="L102" s="193"/>
      <c r="M102" s="538" t="s">
        <v>418</v>
      </c>
      <c r="Y102" s="604"/>
      <c r="AA102" s="118"/>
      <c r="AC102" s="193"/>
    </row>
    <row r="103" spans="1:45" s="416" customFormat="1" ht="2.25" customHeight="1" x14ac:dyDescent="0.25">
      <c r="A103" s="601"/>
      <c r="B103" s="602"/>
      <c r="C103" s="690"/>
      <c r="D103" s="690"/>
      <c r="E103" s="219"/>
      <c r="F103" s="605"/>
      <c r="G103" s="158"/>
      <c r="M103" s="217"/>
      <c r="Y103" s="604"/>
      <c r="AC103" s="158"/>
      <c r="AD103" s="156"/>
      <c r="AE103" s="158"/>
      <c r="AF103" s="158"/>
      <c r="AG103" s="158"/>
      <c r="AH103" s="158"/>
      <c r="AI103" s="605"/>
      <c r="AJ103" s="605"/>
      <c r="AK103" s="605"/>
      <c r="AL103" s="605"/>
      <c r="AM103" s="605"/>
      <c r="AN103" s="281"/>
      <c r="AO103" s="158"/>
      <c r="AP103" s="158"/>
      <c r="AQ103" s="158"/>
      <c r="AR103" s="158"/>
      <c r="AS103" s="158"/>
    </row>
    <row r="104" spans="1:45" s="416" customFormat="1" ht="11.25" customHeight="1" x14ac:dyDescent="0.25">
      <c r="A104" s="606"/>
      <c r="B104" s="141"/>
      <c r="C104" s="693" t="s">
        <v>306</v>
      </c>
      <c r="D104" s="692"/>
      <c r="E104" s="539" t="s">
        <v>309</v>
      </c>
      <c r="F104" s="193"/>
      <c r="G104" s="324"/>
      <c r="H104" s="1147" t="str">
        <f>IF(Dados!R157="Vala de infiltração",Dados!U216,"----")</f>
        <v>----</v>
      </c>
      <c r="I104" s="1148"/>
      <c r="J104" s="1148"/>
      <c r="K104" s="1149"/>
      <c r="M104" s="818" t="s">
        <v>419</v>
      </c>
      <c r="T104" s="1100" t="str">
        <f>IF(Dados!R157="Vala de infiltração",Dados!U213,"----")</f>
        <v>----</v>
      </c>
      <c r="U104" s="1101"/>
      <c r="V104" s="1101"/>
      <c r="W104" s="1101"/>
      <c r="X104" s="1102"/>
      <c r="Y104" s="604"/>
      <c r="AC104" s="217"/>
      <c r="AD104" s="217"/>
      <c r="AE104" s="217"/>
      <c r="AF104" s="217"/>
      <c r="AG104" s="221"/>
      <c r="AK104" s="539"/>
      <c r="AL104" s="193"/>
      <c r="AM104" s="193"/>
      <c r="AN104" s="193"/>
      <c r="AO104" s="193"/>
    </row>
    <row r="105" spans="1:45" s="416" customFormat="1" ht="5.25" customHeight="1" x14ac:dyDescent="0.25">
      <c r="A105" s="606"/>
      <c r="B105" s="141"/>
      <c r="C105" s="605"/>
      <c r="D105" s="605"/>
      <c r="E105" s="605"/>
      <c r="F105" s="605"/>
      <c r="G105" s="605"/>
      <c r="H105" s="605"/>
      <c r="I105" s="605"/>
      <c r="J105" s="605"/>
      <c r="K105" s="605"/>
      <c r="L105" s="605"/>
      <c r="M105" s="605"/>
      <c r="N105" s="605"/>
      <c r="O105" s="605"/>
      <c r="P105" s="605"/>
      <c r="Q105" s="605"/>
      <c r="R105" s="605"/>
      <c r="S105" s="605"/>
      <c r="T105" s="605"/>
      <c r="U105" s="605"/>
      <c r="V105" s="605"/>
      <c r="W105" s="605"/>
      <c r="X105" s="605"/>
      <c r="Y105" s="290"/>
    </row>
    <row r="106" spans="1:45" s="416" customFormat="1" ht="13.5" customHeight="1" x14ac:dyDescent="0.25">
      <c r="A106" s="606"/>
      <c r="B106" s="141"/>
      <c r="C106" s="1160" t="s">
        <v>72</v>
      </c>
      <c r="D106" s="1161"/>
      <c r="E106" s="1161"/>
      <c r="F106" s="1161"/>
      <c r="G106" s="1162"/>
      <c r="H106" s="1110" t="s">
        <v>73</v>
      </c>
      <c r="I106" s="1111"/>
      <c r="J106" s="1111"/>
      <c r="K106" s="1111"/>
      <c r="L106" s="1111"/>
      <c r="M106" s="1111"/>
      <c r="N106" s="1112"/>
      <c r="O106" s="1154" t="s">
        <v>34</v>
      </c>
      <c r="P106" s="1155"/>
      <c r="Q106" s="1156"/>
      <c r="R106" s="1154" t="s">
        <v>90</v>
      </c>
      <c r="S106" s="1155"/>
      <c r="T106" s="1155"/>
      <c r="U106" s="1155"/>
      <c r="V106" s="1155"/>
      <c r="W106" s="1155"/>
      <c r="X106" s="1156"/>
      <c r="Y106" s="291"/>
    </row>
    <row r="107" spans="1:45" s="416" customFormat="1" ht="12.75" customHeight="1" x14ac:dyDescent="0.25">
      <c r="A107" s="606"/>
      <c r="B107" s="141"/>
      <c r="C107" s="1163"/>
      <c r="D107" s="1164"/>
      <c r="E107" s="1164"/>
      <c r="F107" s="1164"/>
      <c r="G107" s="1165"/>
      <c r="H107" s="1187" t="s">
        <v>75</v>
      </c>
      <c r="I107" s="1188"/>
      <c r="J107" s="1188"/>
      <c r="K107" s="1189"/>
      <c r="L107" s="1107" t="s">
        <v>76</v>
      </c>
      <c r="M107" s="1108"/>
      <c r="N107" s="1109"/>
      <c r="O107" s="1166"/>
      <c r="P107" s="1113"/>
      <c r="Q107" s="1167"/>
      <c r="R107" s="1157"/>
      <c r="S107" s="1158"/>
      <c r="T107" s="1158"/>
      <c r="U107" s="1158"/>
      <c r="V107" s="1158"/>
      <c r="W107" s="1158"/>
      <c r="X107" s="1159"/>
      <c r="Y107" s="291"/>
    </row>
    <row r="108" spans="1:45" s="416" customFormat="1" ht="13.5" customHeight="1" x14ac:dyDescent="0.25">
      <c r="A108" s="606"/>
      <c r="B108" s="150"/>
      <c r="C108" s="585" t="s">
        <v>127</v>
      </c>
      <c r="D108" s="586"/>
      <c r="E108" s="586"/>
      <c r="F108" s="586"/>
      <c r="G108" s="587"/>
      <c r="H108" s="1135" t="s">
        <v>92</v>
      </c>
      <c r="I108" s="1136"/>
      <c r="J108" s="1136"/>
      <c r="K108" s="1136"/>
      <c r="L108" s="1137" t="s">
        <v>92</v>
      </c>
      <c r="M108" s="1138"/>
      <c r="N108" s="1139"/>
      <c r="O108" s="1186" t="str">
        <f>IF(Dados!R157="Vala de Infiltração",Dados!BN185,"----")</f>
        <v>----</v>
      </c>
      <c r="P108" s="1186"/>
      <c r="Q108" s="1186"/>
      <c r="R108" s="1136" t="s">
        <v>92</v>
      </c>
      <c r="S108" s="1136"/>
      <c r="T108" s="1136"/>
      <c r="U108" s="1136"/>
      <c r="V108" s="1136"/>
      <c r="W108" s="1136"/>
      <c r="X108" s="1136"/>
      <c r="Y108" s="607"/>
      <c r="Z108" s="608"/>
    </row>
    <row r="109" spans="1:45" s="416" customFormat="1" ht="13.5" customHeight="1" x14ac:dyDescent="0.25">
      <c r="A109" s="606"/>
      <c r="B109" s="141"/>
      <c r="C109" s="1168" t="s">
        <v>151</v>
      </c>
      <c r="D109" s="1169"/>
      <c r="E109" s="1169"/>
      <c r="F109" s="1169"/>
      <c r="G109" s="1170"/>
      <c r="H109" s="1183" t="s">
        <v>92</v>
      </c>
      <c r="I109" s="1184"/>
      <c r="J109" s="1184"/>
      <c r="K109" s="1185"/>
      <c r="L109" s="1137" t="s">
        <v>92</v>
      </c>
      <c r="M109" s="1138"/>
      <c r="N109" s="1139"/>
      <c r="O109" s="1186" t="str">
        <f>IF(Dados!R157="Vala de Infiltração",Dados!BN187,"----")</f>
        <v>----</v>
      </c>
      <c r="P109" s="1186"/>
      <c r="Q109" s="1186"/>
      <c r="R109" s="1143" t="s">
        <v>92</v>
      </c>
      <c r="S109" s="1143"/>
      <c r="T109" s="1143"/>
      <c r="U109" s="1143"/>
      <c r="V109" s="1143"/>
      <c r="W109" s="1143"/>
      <c r="X109" s="1143"/>
      <c r="Y109" s="151"/>
    </row>
    <row r="110" spans="1:45" s="416" customFormat="1" ht="13.5" customHeight="1" x14ac:dyDescent="0.25">
      <c r="A110" s="606"/>
      <c r="B110" s="141"/>
      <c r="C110" s="588" t="s">
        <v>299</v>
      </c>
      <c r="D110" s="586"/>
      <c r="E110" s="586"/>
      <c r="F110" s="586"/>
      <c r="G110" s="587"/>
      <c r="H110" s="1171" t="s">
        <v>92</v>
      </c>
      <c r="I110" s="1172"/>
      <c r="J110" s="1172"/>
      <c r="K110" s="1173"/>
      <c r="L110" s="1137" t="s">
        <v>92</v>
      </c>
      <c r="M110" s="1138"/>
      <c r="N110" s="1139"/>
      <c r="O110" s="1177" t="str">
        <f>IF(Dados!R157="vala de infiltração",Dados!S239,"----")</f>
        <v>----</v>
      </c>
      <c r="P110" s="1178"/>
      <c r="Q110" s="1179"/>
      <c r="R110" s="1143" t="str">
        <f>IF(Dados!R157="vala de infiltração",Dados!T247,"----")</f>
        <v>----</v>
      </c>
      <c r="S110" s="1143"/>
      <c r="T110" s="1143"/>
      <c r="U110" s="1143"/>
      <c r="V110" s="1143"/>
      <c r="W110" s="1143"/>
      <c r="X110" s="1143"/>
      <c r="Y110" s="151"/>
    </row>
    <row r="111" spans="1:45" s="416" customFormat="1" ht="13.5" customHeight="1" x14ac:dyDescent="0.25">
      <c r="A111" s="606"/>
      <c r="B111" s="141"/>
      <c r="C111" s="609" t="s">
        <v>94</v>
      </c>
      <c r="D111" s="610"/>
      <c r="E111" s="610"/>
      <c r="F111" s="610"/>
      <c r="G111" s="611"/>
      <c r="H111" s="1136" t="str">
        <f>IF(Dados!R157="Vala de infiltração",Dados!Q248,"----")</f>
        <v>----</v>
      </c>
      <c r="I111" s="1136"/>
      <c r="J111" s="1136"/>
      <c r="K111" s="1136"/>
      <c r="L111" s="1137" t="s">
        <v>92</v>
      </c>
      <c r="M111" s="1138"/>
      <c r="N111" s="1139"/>
      <c r="O111" s="1136" t="str">
        <f>IF(Dados!R157="Vala de Infiltração",Dados!S248,"----")</f>
        <v>----</v>
      </c>
      <c r="P111" s="1136"/>
      <c r="Q111" s="1136"/>
      <c r="R111" s="1143" t="str">
        <f>IF(Dados!R157="vala de infiltração",Dados!T248,"----")</f>
        <v>----</v>
      </c>
      <c r="S111" s="1143"/>
      <c r="T111" s="1143"/>
      <c r="U111" s="1143"/>
      <c r="V111" s="1143"/>
      <c r="W111" s="1143"/>
      <c r="X111" s="1143"/>
      <c r="Y111" s="151"/>
    </row>
    <row r="112" spans="1:45" s="416" customFormat="1" ht="13.5" customHeight="1" x14ac:dyDescent="0.25">
      <c r="A112" s="606"/>
      <c r="B112" s="141"/>
      <c r="C112" s="609" t="s">
        <v>120</v>
      </c>
      <c r="D112" s="610"/>
      <c r="E112" s="610"/>
      <c r="F112" s="610"/>
      <c r="G112" s="611"/>
      <c r="H112" s="1136" t="str">
        <f>IF(Dados!R157="Vala de infiltração",Dados!Q249,"----")</f>
        <v>----</v>
      </c>
      <c r="I112" s="1136"/>
      <c r="J112" s="1136"/>
      <c r="K112" s="1136"/>
      <c r="L112" s="1137" t="s">
        <v>92</v>
      </c>
      <c r="M112" s="1138"/>
      <c r="N112" s="1139"/>
      <c r="O112" s="1136" t="str">
        <f>IF(Dados!R157="Vala de Infiltração",Dados!S249,"----")</f>
        <v>----</v>
      </c>
      <c r="P112" s="1136"/>
      <c r="Q112" s="1136"/>
      <c r="R112" s="1143" t="str">
        <f>IF(Dados!R157="vala de infiltração",Dados!T249,"----")</f>
        <v>----</v>
      </c>
      <c r="S112" s="1143"/>
      <c r="T112" s="1143"/>
      <c r="U112" s="1143"/>
      <c r="V112" s="1143"/>
      <c r="W112" s="1143"/>
      <c r="X112" s="1143"/>
      <c r="Y112" s="151"/>
    </row>
    <row r="113" spans="1:29" s="416" customFormat="1" ht="13.5" customHeight="1" x14ac:dyDescent="0.25">
      <c r="A113" s="606"/>
      <c r="B113" s="150"/>
      <c r="C113" s="589" t="s">
        <v>96</v>
      </c>
      <c r="D113" s="612"/>
      <c r="E113" s="613"/>
      <c r="F113" s="613"/>
      <c r="G113" s="614"/>
      <c r="H113" s="1151" t="s">
        <v>92</v>
      </c>
      <c r="I113" s="1152"/>
      <c r="J113" s="1152"/>
      <c r="K113" s="1153"/>
      <c r="L113" s="1151" t="str">
        <f>IF(Dados!R157="vala de infiltração",Dados!R250,"----")</f>
        <v>----</v>
      </c>
      <c r="M113" s="1152"/>
      <c r="N113" s="1153"/>
      <c r="O113" s="1136" t="str">
        <f>IF(Dados!R157="Vala de Infiltração",Dados!S250,"----")</f>
        <v>----</v>
      </c>
      <c r="P113" s="1136"/>
      <c r="Q113" s="1136"/>
      <c r="R113" s="1143" t="str">
        <f>IF(Dados!R157="vala de infiltração",Dados!T250,"----")</f>
        <v>----</v>
      </c>
      <c r="S113" s="1143"/>
      <c r="T113" s="1143"/>
      <c r="U113" s="1143"/>
      <c r="V113" s="1143"/>
      <c r="W113" s="1143"/>
      <c r="X113" s="1143"/>
      <c r="Y113" s="292"/>
    </row>
    <row r="114" spans="1:29" s="416" customFormat="1" ht="13.5" customHeight="1" x14ac:dyDescent="0.25">
      <c r="A114" s="606"/>
      <c r="B114" s="150"/>
      <c r="C114" s="590" t="s">
        <v>152</v>
      </c>
      <c r="D114" s="591"/>
      <c r="E114" s="591"/>
      <c r="F114" s="591"/>
      <c r="G114" s="615"/>
      <c r="H114" s="1174" t="s">
        <v>92</v>
      </c>
      <c r="I114" s="1175"/>
      <c r="J114" s="1175"/>
      <c r="K114" s="1176"/>
      <c r="L114" s="1151" t="s">
        <v>92</v>
      </c>
      <c r="M114" s="1152"/>
      <c r="N114" s="1153"/>
      <c r="O114" s="1136" t="str">
        <f>IF(Dados!R157="Vala de Infiltração",Dados!S251,"----")</f>
        <v>----</v>
      </c>
      <c r="P114" s="1136"/>
      <c r="Q114" s="1136"/>
      <c r="R114" s="1143" t="str">
        <f>IF(Dados!R157="vala de infiltração",Dados!T251,"----")</f>
        <v>----</v>
      </c>
      <c r="S114" s="1143"/>
      <c r="T114" s="1143"/>
      <c r="U114" s="1143"/>
      <c r="V114" s="1143"/>
      <c r="W114" s="1143"/>
      <c r="X114" s="1143"/>
      <c r="Y114" s="151"/>
    </row>
    <row r="115" spans="1:29" s="416" customFormat="1" ht="13.5" customHeight="1" x14ac:dyDescent="0.25">
      <c r="A115" s="606"/>
      <c r="B115" s="141"/>
      <c r="C115" s="589" t="s">
        <v>153</v>
      </c>
      <c r="D115" s="616"/>
      <c r="E115" s="616"/>
      <c r="F115" s="616"/>
      <c r="G115" s="617"/>
      <c r="H115" s="1136" t="str">
        <f>IF(Dados!R157="Vala de infiltração",Dados!U216,"----")</f>
        <v>----</v>
      </c>
      <c r="I115" s="1136"/>
      <c r="J115" s="1136"/>
      <c r="K115" s="1136"/>
      <c r="L115" s="1137" t="s">
        <v>92</v>
      </c>
      <c r="M115" s="1138"/>
      <c r="N115" s="1139"/>
      <c r="O115" s="1136" t="str">
        <f>IF(Dados!R157="Vala de Infiltração",Dados!S253,"----")</f>
        <v>----</v>
      </c>
      <c r="P115" s="1136"/>
      <c r="Q115" s="1136"/>
      <c r="R115" s="1143" t="str">
        <f>IF(Dados!R157="vala de infiltração",Dados!T253,"----")</f>
        <v>----</v>
      </c>
      <c r="S115" s="1143"/>
      <c r="T115" s="1143"/>
      <c r="U115" s="1143"/>
      <c r="V115" s="1143"/>
      <c r="W115" s="1143"/>
      <c r="X115" s="1143"/>
      <c r="Y115" s="292"/>
    </row>
    <row r="116" spans="1:29" s="416" customFormat="1" ht="13.5" customHeight="1" x14ac:dyDescent="0.25">
      <c r="A116" s="606"/>
      <c r="B116" s="150"/>
      <c r="C116" s="278" t="s">
        <v>375</v>
      </c>
      <c r="D116" s="591"/>
      <c r="E116" s="591"/>
      <c r="F116" s="591"/>
      <c r="G116" s="591"/>
      <c r="H116" s="1100" t="str">
        <f>IF(Dados!R157="Vala de Infiltração",1.5,"----")</f>
        <v>----</v>
      </c>
      <c r="I116" s="1101"/>
      <c r="J116" s="1101"/>
      <c r="K116" s="1102"/>
      <c r="L116" s="1097" t="s">
        <v>92</v>
      </c>
      <c r="M116" s="1098"/>
      <c r="N116" s="1099"/>
      <c r="O116" s="1136" t="str">
        <f>IF(Dados!R157="Vala de Infiltração",Dados!S243,"----")</f>
        <v>----</v>
      </c>
      <c r="P116" s="1136"/>
      <c r="Q116" s="1136"/>
      <c r="R116" s="1143" t="str">
        <f>IF(Dados!R157="vala de infiltração",IF(O116="&gt; 1,50m","Atende","Não atende"),"----")</f>
        <v>----</v>
      </c>
      <c r="S116" s="1143"/>
      <c r="T116" s="1143"/>
      <c r="U116" s="1143"/>
      <c r="V116" s="1143"/>
      <c r="W116" s="1143"/>
      <c r="X116" s="1143"/>
      <c r="Y116" s="151"/>
    </row>
    <row r="117" spans="1:29" ht="6" customHeight="1" x14ac:dyDescent="0.25">
      <c r="A117" s="179"/>
      <c r="B117" s="150"/>
      <c r="C117" s="567"/>
      <c r="D117" s="567"/>
      <c r="E117" s="349"/>
      <c r="F117" s="349"/>
      <c r="G117" s="349"/>
      <c r="H117" s="357"/>
      <c r="I117" s="357"/>
      <c r="J117" s="357"/>
      <c r="K117" s="357"/>
      <c r="L117" s="568"/>
      <c r="M117" s="568"/>
      <c r="N117" s="568"/>
      <c r="O117" s="704"/>
      <c r="P117" s="704"/>
      <c r="Q117" s="704"/>
      <c r="R117" s="569"/>
      <c r="S117" s="569"/>
      <c r="T117" s="569"/>
      <c r="U117" s="569"/>
      <c r="V117" s="569"/>
      <c r="W117" s="569"/>
      <c r="X117" s="569"/>
      <c r="Y117" s="151"/>
    </row>
    <row r="118" spans="1:29" ht="12.75" customHeight="1" x14ac:dyDescent="0.25">
      <c r="A118" s="179"/>
      <c r="B118" s="150"/>
      <c r="C118" s="572" t="str">
        <f>IF(Dados!R157="Sumidouro","   ","Parâmetros e distâncias a considerar")</f>
        <v xml:space="preserve">   </v>
      </c>
      <c r="D118" s="567"/>
      <c r="E118" s="349"/>
      <c r="F118" s="349"/>
      <c r="G118" s="349"/>
      <c r="H118" s="357"/>
      <c r="I118" s="357"/>
      <c r="J118" s="357"/>
      <c r="K118" s="357"/>
      <c r="L118" s="568"/>
      <c r="M118" s="568"/>
      <c r="N118" s="568"/>
      <c r="O118" s="704"/>
      <c r="P118" s="704"/>
      <c r="Q118" s="704"/>
      <c r="R118" s="569"/>
      <c r="S118" s="569"/>
      <c r="T118" s="569"/>
      <c r="U118" s="569"/>
      <c r="V118" s="569"/>
      <c r="W118" s="569"/>
      <c r="X118" s="569"/>
      <c r="Y118" s="151"/>
    </row>
    <row r="119" spans="1:29" ht="4.5" customHeight="1" x14ac:dyDescent="0.25">
      <c r="A119" s="179"/>
      <c r="B119" s="150"/>
      <c r="C119" s="574"/>
      <c r="D119" s="567"/>
      <c r="E119" s="349"/>
      <c r="F119" s="349"/>
      <c r="G119" s="349"/>
      <c r="H119" s="357"/>
      <c r="I119" s="357"/>
      <c r="J119" s="357"/>
      <c r="K119" s="357"/>
      <c r="L119" s="568"/>
      <c r="M119" s="568"/>
      <c r="N119" s="568"/>
      <c r="O119" s="704"/>
      <c r="P119" s="704"/>
      <c r="Q119" s="704"/>
      <c r="R119" s="569"/>
      <c r="S119" s="569"/>
      <c r="T119" s="569"/>
      <c r="U119" s="569"/>
      <c r="V119" s="569"/>
      <c r="W119" s="569"/>
      <c r="X119" s="569"/>
      <c r="Y119" s="151"/>
    </row>
    <row r="120" spans="1:29" ht="14.25" customHeight="1" x14ac:dyDescent="0.25">
      <c r="A120" s="179"/>
      <c r="B120" s="150"/>
      <c r="C120" s="277" t="s">
        <v>300</v>
      </c>
      <c r="D120" s="567"/>
      <c r="E120" s="349"/>
      <c r="F120" s="349"/>
      <c r="G120" s="349"/>
      <c r="H120" s="357"/>
      <c r="I120" s="357"/>
      <c r="J120" s="357"/>
      <c r="K120" s="357"/>
      <c r="L120" s="568"/>
      <c r="M120" s="568"/>
      <c r="N120" s="568"/>
      <c r="O120" s="704"/>
      <c r="P120" s="704"/>
      <c r="Q120" s="704"/>
      <c r="R120" s="569"/>
      <c r="S120" s="569"/>
      <c r="T120" s="569"/>
      <c r="U120" s="569"/>
      <c r="V120" s="569"/>
      <c r="W120" s="569"/>
      <c r="X120" s="569"/>
      <c r="Y120" s="151"/>
      <c r="AC120" s="571"/>
    </row>
    <row r="121" spans="1:29" ht="14.25" customHeight="1" x14ac:dyDescent="0.25">
      <c r="A121" s="179"/>
      <c r="B121" s="150"/>
      <c r="C121" s="277" t="s">
        <v>406</v>
      </c>
      <c r="D121" s="567"/>
      <c r="E121" s="349"/>
      <c r="F121" s="349"/>
      <c r="G121" s="349"/>
      <c r="H121" s="357"/>
      <c r="I121" s="357"/>
      <c r="J121" s="357"/>
      <c r="K121" s="357"/>
      <c r="L121" s="568"/>
      <c r="M121" s="568"/>
      <c r="N121" s="568"/>
      <c r="O121" s="704"/>
      <c r="P121" s="704"/>
      <c r="Q121" s="704"/>
      <c r="R121" s="569"/>
      <c r="S121" s="569"/>
      <c r="T121" s="569"/>
      <c r="U121" s="569"/>
      <c r="V121" s="569"/>
      <c r="W121" s="569"/>
      <c r="X121" s="569"/>
      <c r="Y121" s="151"/>
      <c r="AC121" s="571"/>
    </row>
    <row r="122" spans="1:29" ht="14.25" customHeight="1" x14ac:dyDescent="0.25">
      <c r="A122" s="179"/>
      <c r="B122" s="150"/>
      <c r="C122" s="277" t="s">
        <v>301</v>
      </c>
      <c r="D122" s="567"/>
      <c r="E122" s="349"/>
      <c r="F122" s="349"/>
      <c r="G122" s="349"/>
      <c r="H122" s="357"/>
      <c r="I122" s="357"/>
      <c r="J122" s="357"/>
      <c r="K122" s="357"/>
      <c r="L122" s="568"/>
      <c r="M122" s="568"/>
      <c r="N122" s="568"/>
      <c r="O122" s="704"/>
      <c r="P122" s="704"/>
      <c r="Q122" s="704"/>
      <c r="R122" s="569"/>
      <c r="S122" s="569"/>
      <c r="T122" s="569"/>
      <c r="U122" s="569"/>
      <c r="V122" s="569"/>
      <c r="W122" s="569"/>
      <c r="X122" s="569"/>
      <c r="Y122" s="151"/>
      <c r="AC122" s="104"/>
    </row>
    <row r="123" spans="1:29" ht="14.25" customHeight="1" x14ac:dyDescent="0.25">
      <c r="A123" s="179"/>
      <c r="B123" s="150"/>
      <c r="C123" s="277" t="s">
        <v>302</v>
      </c>
      <c r="D123" s="567"/>
      <c r="E123" s="349"/>
      <c r="F123" s="349"/>
      <c r="G123" s="349"/>
      <c r="H123" s="357"/>
      <c r="I123" s="357"/>
      <c r="J123" s="357"/>
      <c r="K123" s="357"/>
      <c r="L123" s="568"/>
      <c r="M123" s="568"/>
      <c r="N123" s="568"/>
      <c r="O123" s="704"/>
      <c r="P123" s="704"/>
      <c r="Q123" s="704"/>
      <c r="R123" s="569"/>
      <c r="S123" s="569"/>
      <c r="T123" s="569"/>
      <c r="U123" s="569"/>
      <c r="V123" s="569"/>
      <c r="W123" s="569"/>
      <c r="X123" s="569"/>
      <c r="Y123" s="151"/>
    </row>
    <row r="124" spans="1:29" ht="14.25" customHeight="1" x14ac:dyDescent="0.25">
      <c r="A124" s="179"/>
      <c r="B124" s="150"/>
      <c r="C124" s="277" t="s">
        <v>303</v>
      </c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68"/>
      <c r="O124" s="704"/>
      <c r="P124" s="704"/>
      <c r="Q124" s="704"/>
      <c r="R124" s="357"/>
      <c r="S124" s="357"/>
      <c r="T124" s="357"/>
      <c r="U124" s="357"/>
      <c r="V124" s="357"/>
      <c r="W124" s="357"/>
      <c r="X124" s="357"/>
      <c r="Y124" s="151"/>
    </row>
    <row r="125" spans="1:29" ht="6" customHeight="1" x14ac:dyDescent="0.25">
      <c r="A125" s="179"/>
      <c r="B125" s="25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705"/>
      <c r="P125" s="705"/>
      <c r="Q125" s="705"/>
      <c r="R125" s="194"/>
      <c r="S125" s="194"/>
      <c r="T125" s="194"/>
      <c r="U125" s="194"/>
      <c r="V125" s="194"/>
      <c r="W125" s="194"/>
      <c r="X125" s="194"/>
      <c r="Y125" s="218"/>
    </row>
    <row r="126" spans="1:29" ht="12.75" customHeight="1" x14ac:dyDescent="0.25">
      <c r="A126" s="183"/>
      <c r="B126" s="141"/>
      <c r="C126" s="1150" t="str">
        <f xml:space="preserve"> IF(Dados!R157 = "Vala de infiltração",IF(Dados!U264="sim","Foi declarado que os parâmetros, distâncias mínimas e demais determinações da NORMA foram atendidas ","Foi declarado que os parâmetros, distâncias mínimas e demais determinações da NORMA não foram atendidas ")," ")</f>
        <v xml:space="preserve"> </v>
      </c>
      <c r="D126" s="1150"/>
      <c r="E126" s="1150"/>
      <c r="F126" s="1150"/>
      <c r="G126" s="1150"/>
      <c r="H126" s="1150"/>
      <c r="I126" s="1150"/>
      <c r="J126" s="1150"/>
      <c r="K126" s="1150"/>
      <c r="L126" s="1150"/>
      <c r="M126" s="1150"/>
      <c r="N126" s="1150"/>
      <c r="O126" s="1150"/>
      <c r="P126" s="1150"/>
      <c r="Q126" s="1150"/>
      <c r="R126" s="1150"/>
      <c r="S126" s="1150"/>
      <c r="T126" s="1150"/>
      <c r="U126" s="1150"/>
      <c r="V126" s="1150"/>
      <c r="W126" s="1150"/>
      <c r="X126" s="1150"/>
      <c r="Y126" s="271"/>
    </row>
    <row r="127" spans="1:29" ht="5.25" customHeight="1" x14ac:dyDescent="0.25">
      <c r="A127" s="183"/>
      <c r="B127" s="207"/>
      <c r="C127" s="274"/>
      <c r="D127" s="578"/>
      <c r="E127" s="274"/>
      <c r="F127" s="274"/>
      <c r="G127" s="274"/>
      <c r="H127" s="553"/>
      <c r="I127" s="553"/>
      <c r="J127" s="553"/>
      <c r="K127" s="553"/>
      <c r="L127" s="553"/>
      <c r="M127" s="553"/>
      <c r="N127" s="553"/>
      <c r="O127" s="553"/>
      <c r="P127" s="553"/>
      <c r="Q127" s="553"/>
      <c r="R127" s="553"/>
      <c r="S127" s="553"/>
      <c r="T127" s="553"/>
      <c r="U127" s="553"/>
      <c r="V127" s="553"/>
      <c r="W127" s="553"/>
      <c r="X127" s="553"/>
      <c r="Y127" s="579"/>
    </row>
    <row r="128" spans="1:29" ht="6.75" customHeight="1" x14ac:dyDescent="0.25">
      <c r="A128" s="183"/>
      <c r="B128" s="158"/>
      <c r="C128" s="272"/>
      <c r="D128" s="227"/>
      <c r="E128" s="272"/>
      <c r="F128" s="272"/>
      <c r="G128" s="272"/>
      <c r="H128" s="209"/>
      <c r="I128" s="209"/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305"/>
    </row>
    <row r="129" spans="1:25" ht="6.75" customHeight="1" x14ac:dyDescent="0.25">
      <c r="A129" s="183"/>
      <c r="B129" s="158"/>
      <c r="C129" s="272"/>
      <c r="D129" s="227"/>
      <c r="E129" s="272"/>
      <c r="F129" s="272"/>
      <c r="G129" s="272"/>
      <c r="H129" s="209"/>
      <c r="I129" s="209"/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305"/>
    </row>
    <row r="130" spans="1:25" ht="8.25" customHeight="1" x14ac:dyDescent="0.25">
      <c r="A130" s="183"/>
      <c r="B130" s="158"/>
      <c r="C130" s="272"/>
      <c r="D130" s="227"/>
      <c r="E130" s="272"/>
      <c r="F130" s="272"/>
      <c r="G130" s="272"/>
      <c r="H130" s="209"/>
      <c r="I130" s="209"/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305"/>
    </row>
    <row r="131" spans="1:25" ht="15" customHeight="1" x14ac:dyDescent="0.25">
      <c r="A131" s="183"/>
      <c r="B131" s="158"/>
      <c r="C131" s="272"/>
      <c r="D131" s="227"/>
      <c r="E131" s="272"/>
      <c r="F131" s="272"/>
      <c r="G131" s="272"/>
      <c r="H131" s="209"/>
      <c r="I131" s="209"/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305"/>
    </row>
    <row r="132" spans="1:25" ht="6.75" customHeight="1" x14ac:dyDescent="0.25">
      <c r="A132" s="183"/>
      <c r="B132" s="158"/>
      <c r="C132" s="272"/>
      <c r="D132" s="227"/>
      <c r="E132" s="272"/>
      <c r="F132" s="272"/>
      <c r="G132" s="272"/>
      <c r="H132" s="209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305"/>
    </row>
    <row r="133" spans="1:25" ht="16.5" customHeight="1" x14ac:dyDescent="0.25">
      <c r="A133" s="183"/>
      <c r="B133" s="158"/>
      <c r="C133" s="272"/>
      <c r="D133" s="227"/>
      <c r="E133" s="272"/>
      <c r="F133" s="272"/>
      <c r="G133" s="272"/>
      <c r="H133" s="209"/>
      <c r="I133" s="209"/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305"/>
    </row>
    <row r="134" spans="1:25" ht="14.25" customHeight="1" x14ac:dyDescent="0.25">
      <c r="A134" s="183"/>
      <c r="B134" s="1140" t="s">
        <v>154</v>
      </c>
      <c r="C134" s="1140"/>
      <c r="D134" s="1201">
        <f>Dados!G5</f>
        <v>0</v>
      </c>
      <c r="E134" s="1201"/>
      <c r="F134" s="1201"/>
      <c r="G134" s="1201"/>
      <c r="H134" s="1201"/>
      <c r="I134" s="1201"/>
      <c r="K134" s="731" t="s">
        <v>155</v>
      </c>
      <c r="L134" s="731"/>
      <c r="M134" s="731"/>
      <c r="O134" s="1201">
        <f>Dados!G9</f>
        <v>0</v>
      </c>
      <c r="P134" s="1201"/>
      <c r="Q134" s="1201"/>
      <c r="R134" s="1201"/>
      <c r="S134" s="1201"/>
      <c r="T134" s="1201"/>
      <c r="U134" s="1201"/>
      <c r="V134" s="1201"/>
      <c r="W134" s="1201"/>
      <c r="X134" s="1201"/>
    </row>
    <row r="135" spans="1:25" ht="11.25" customHeight="1" x14ac:dyDescent="0.25">
      <c r="A135" s="183"/>
      <c r="B135" s="1140" t="s">
        <v>156</v>
      </c>
      <c r="C135" s="1140"/>
      <c r="D135" s="1141">
        <f>Dados!G7</f>
        <v>0</v>
      </c>
      <c r="E135" s="1141"/>
      <c r="F135" s="1141"/>
      <c r="G135" s="1141"/>
      <c r="H135" s="351"/>
      <c r="I135" s="351"/>
      <c r="K135" s="1140" t="s">
        <v>156</v>
      </c>
      <c r="L135" s="1140"/>
      <c r="M135" s="1140"/>
      <c r="N135" s="581"/>
      <c r="O135" s="1141">
        <f>Dados!G11</f>
        <v>0</v>
      </c>
      <c r="P135" s="1141"/>
      <c r="Q135" s="1141"/>
      <c r="R135" s="1141"/>
      <c r="S135" s="1141"/>
      <c r="T135" s="1141"/>
      <c r="U135" s="1141"/>
      <c r="V135" s="1141"/>
      <c r="W135" s="1141"/>
      <c r="X135" s="1141"/>
    </row>
    <row r="136" spans="1:25" ht="11.25" customHeight="1" x14ac:dyDescent="0.25">
      <c r="A136" s="183"/>
      <c r="B136" s="580"/>
      <c r="C136" s="581"/>
      <c r="D136" s="581"/>
      <c r="E136" s="581"/>
      <c r="F136" s="581"/>
      <c r="G136" s="581"/>
      <c r="H136" s="581"/>
      <c r="I136" s="581"/>
      <c r="K136" s="731" t="s">
        <v>157</v>
      </c>
      <c r="L136" s="731"/>
      <c r="M136" s="732"/>
      <c r="O136" s="1142" t="str">
        <f>Dados!G13</f>
        <v>Selec. CREA ou CAU</v>
      </c>
      <c r="P136" s="1142"/>
      <c r="Q136" s="1142"/>
      <c r="R136" s="732" t="s">
        <v>158</v>
      </c>
      <c r="S136" s="1144">
        <f>Dados!L13</f>
        <v>0</v>
      </c>
      <c r="T136" s="1144"/>
      <c r="U136" s="1144"/>
      <c r="V136" s="1144"/>
      <c r="W136" s="1144"/>
      <c r="X136" s="1144"/>
    </row>
    <row r="137" spans="1:25" ht="18" customHeight="1" x14ac:dyDescent="0.25">
      <c r="A137" s="183"/>
      <c r="B137" s="350"/>
      <c r="C137" s="581"/>
      <c r="D137" s="581"/>
      <c r="E137" s="581"/>
      <c r="F137" s="581"/>
      <c r="G137" s="581"/>
      <c r="H137" s="581"/>
      <c r="I137" s="581"/>
      <c r="K137" s="733" t="s">
        <v>159</v>
      </c>
      <c r="L137" s="734"/>
      <c r="M137" s="734"/>
      <c r="N137" s="672"/>
      <c r="O137" s="1145">
        <f>Dados!G15</f>
        <v>0</v>
      </c>
      <c r="P137" s="1146"/>
      <c r="Q137" s="1146"/>
      <c r="R137" s="1146"/>
      <c r="S137" s="1146"/>
      <c r="T137" s="1146"/>
      <c r="U137" s="1146"/>
      <c r="V137" s="1146"/>
      <c r="W137" s="1146"/>
      <c r="X137" s="1146"/>
    </row>
    <row r="138" spans="1:25" ht="11.25" customHeight="1" x14ac:dyDescent="0.25">
      <c r="A138" s="183"/>
      <c r="B138" s="350"/>
      <c r="C138" s="581"/>
      <c r="D138" s="581"/>
      <c r="E138" s="581"/>
      <c r="F138" s="581"/>
      <c r="G138" s="581"/>
      <c r="H138" s="581"/>
      <c r="I138" s="581"/>
      <c r="N138" s="1142"/>
      <c r="O138" s="1142"/>
      <c r="P138" s="1142"/>
      <c r="Q138" s="1142"/>
      <c r="R138" s="1142"/>
      <c r="S138" s="1142"/>
      <c r="T138" s="1142"/>
      <c r="U138" s="1142"/>
      <c r="V138" s="1142"/>
      <c r="W138" s="1142"/>
      <c r="X138" s="1142"/>
    </row>
    <row r="139" spans="1:25" ht="7.5" customHeight="1" x14ac:dyDescent="0.25">
      <c r="A139" s="183"/>
      <c r="B139" s="281"/>
      <c r="C139" s="306"/>
      <c r="D139" s="306"/>
      <c r="E139" s="307"/>
      <c r="F139" s="307"/>
      <c r="G139" s="307"/>
      <c r="H139" s="307"/>
      <c r="I139" s="308"/>
      <c r="J139" s="308"/>
      <c r="K139" s="308"/>
      <c r="L139" s="309"/>
      <c r="M139" s="309"/>
      <c r="N139" s="309"/>
      <c r="O139" s="308"/>
      <c r="P139" s="308"/>
      <c r="Q139" s="308"/>
      <c r="R139" s="308"/>
      <c r="S139" s="308"/>
      <c r="T139" s="308"/>
      <c r="U139" s="308"/>
      <c r="V139" s="304"/>
      <c r="W139" s="304"/>
      <c r="X139" s="304"/>
      <c r="Y139" s="209"/>
    </row>
    <row r="140" spans="1:25" ht="9" customHeight="1" x14ac:dyDescent="0.25">
      <c r="A140" s="288"/>
      <c r="B140" s="142"/>
      <c r="C140" s="281"/>
      <c r="D140" s="281"/>
      <c r="E140" s="281"/>
      <c r="F140" s="282"/>
      <c r="G140" s="209"/>
      <c r="H140" s="209"/>
      <c r="I140" s="265"/>
      <c r="J140" s="265"/>
      <c r="K140" s="265"/>
      <c r="L140" s="209"/>
      <c r="M140" s="209"/>
      <c r="N140" s="283"/>
      <c r="O140" s="281"/>
      <c r="P140" s="281"/>
      <c r="Q140" s="281"/>
      <c r="R140" s="281"/>
      <c r="S140" s="265"/>
      <c r="T140" s="209"/>
      <c r="U140" s="209"/>
      <c r="V140" s="209"/>
      <c r="W140" s="209"/>
      <c r="X140" s="209"/>
      <c r="Y140" s="143"/>
    </row>
    <row r="141" spans="1:25" ht="13.5" customHeight="1" x14ac:dyDescent="0.25">
      <c r="A141" s="288"/>
      <c r="B141" s="288"/>
      <c r="C141" s="143"/>
      <c r="D141" s="143"/>
      <c r="E141" s="143"/>
      <c r="F141" s="143"/>
      <c r="G141" s="281"/>
      <c r="H141" s="281"/>
      <c r="I141" s="281"/>
      <c r="J141" s="281"/>
      <c r="K141" s="281"/>
      <c r="L141" s="281"/>
      <c r="M141" s="281"/>
      <c r="N141" s="158"/>
      <c r="O141" s="158"/>
      <c r="P141" s="158"/>
      <c r="Q141" s="142"/>
      <c r="R141" s="143"/>
      <c r="S141" s="281"/>
      <c r="T141" s="310"/>
      <c r="U141" s="310"/>
      <c r="V141" s="310"/>
      <c r="W141" s="310"/>
      <c r="X141" s="310"/>
      <c r="Y141" s="143"/>
    </row>
    <row r="142" spans="1:25" ht="3" customHeight="1" x14ac:dyDescent="0.25">
      <c r="A142" s="288"/>
      <c r="B142" s="288"/>
      <c r="C142" s="286"/>
      <c r="D142" s="287"/>
      <c r="E142" s="148"/>
      <c r="F142" s="148"/>
      <c r="G142" s="143"/>
      <c r="H142" s="217"/>
      <c r="I142" s="217"/>
      <c r="J142" s="217"/>
      <c r="K142" s="217"/>
      <c r="L142" s="221"/>
      <c r="M142" s="201"/>
      <c r="N142" s="201"/>
      <c r="O142" s="201"/>
      <c r="P142" s="193"/>
      <c r="Q142" s="193"/>
      <c r="R142" s="193"/>
      <c r="S142" s="193"/>
      <c r="T142" s="193"/>
      <c r="U142" s="295"/>
      <c r="V142" s="295"/>
      <c r="W142" s="295"/>
      <c r="X142" s="295"/>
      <c r="Y142" s="288"/>
    </row>
    <row r="143" spans="1:25" ht="14.25" customHeight="1" x14ac:dyDescent="0.25">
      <c r="A143" s="183"/>
      <c r="B143" s="288"/>
      <c r="C143" s="288"/>
      <c r="D143" s="288"/>
      <c r="E143" s="288"/>
      <c r="F143" s="288"/>
      <c r="G143" s="143"/>
      <c r="H143" s="143"/>
      <c r="I143" s="156"/>
      <c r="J143" s="158"/>
      <c r="K143" s="158"/>
      <c r="L143" s="158"/>
      <c r="M143" s="158"/>
      <c r="N143" s="288"/>
      <c r="O143" s="288"/>
      <c r="P143" s="288"/>
      <c r="Q143" s="288"/>
      <c r="R143" s="288"/>
      <c r="S143" s="281"/>
      <c r="T143" s="142"/>
      <c r="U143" s="142"/>
      <c r="V143" s="142"/>
      <c r="W143" s="142"/>
      <c r="X143" s="142"/>
      <c r="Y143" s="288"/>
    </row>
    <row r="144" spans="1:25" ht="15.75" customHeight="1" x14ac:dyDescent="0.25">
      <c r="A144" s="183"/>
      <c r="B144" s="142"/>
      <c r="C144" s="217"/>
      <c r="D144" s="217"/>
      <c r="E144" s="193"/>
      <c r="F144" s="193"/>
      <c r="G144" s="304"/>
      <c r="H144" s="217"/>
      <c r="I144" s="217"/>
      <c r="J144" s="217"/>
      <c r="K144" s="217"/>
      <c r="L144" s="217"/>
      <c r="M144" s="209"/>
      <c r="N144" s="209"/>
      <c r="O144" s="209"/>
      <c r="P144" s="217"/>
      <c r="Q144" s="217"/>
      <c r="R144" s="217"/>
      <c r="S144" s="217"/>
      <c r="T144" s="289"/>
      <c r="U144" s="313"/>
      <c r="V144" s="313"/>
      <c r="W144" s="313"/>
      <c r="X144" s="313"/>
      <c r="Y144" s="288"/>
    </row>
    <row r="145" spans="1:25" ht="13.5" customHeight="1" x14ac:dyDescent="0.25">
      <c r="A145" s="183"/>
      <c r="B145" s="142"/>
      <c r="C145" s="288"/>
      <c r="D145" s="288"/>
      <c r="E145" s="288"/>
      <c r="F145" s="288"/>
      <c r="G145" s="288"/>
      <c r="H145" s="288"/>
      <c r="I145" s="288"/>
      <c r="J145" s="288"/>
      <c r="K145" s="288"/>
      <c r="L145" s="288"/>
      <c r="M145" s="288"/>
      <c r="N145" s="288"/>
      <c r="O145" s="288"/>
      <c r="P145" s="288"/>
      <c r="Q145" s="288"/>
      <c r="R145" s="288"/>
      <c r="S145" s="288"/>
      <c r="T145" s="288"/>
      <c r="U145" s="288"/>
      <c r="V145" s="288"/>
      <c r="W145" s="288"/>
      <c r="X145" s="288"/>
      <c r="Y145" s="311"/>
    </row>
    <row r="146" spans="1:25" ht="11.25" customHeight="1" x14ac:dyDescent="0.25">
      <c r="A146" s="183"/>
      <c r="B146" s="158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281"/>
    </row>
    <row r="147" spans="1:25" ht="15" customHeight="1" x14ac:dyDescent="0.25">
      <c r="A147" s="183"/>
      <c r="B147" s="158"/>
      <c r="C147" s="193"/>
      <c r="D147" s="193"/>
      <c r="E147" s="193"/>
      <c r="F147" s="193"/>
      <c r="G147" s="193"/>
      <c r="H147" s="217"/>
      <c r="I147" s="217"/>
      <c r="J147" s="217"/>
      <c r="K147" s="217"/>
      <c r="L147" s="217"/>
      <c r="M147" s="217"/>
      <c r="N147" s="217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281"/>
    </row>
    <row r="148" spans="1:25" ht="13.5" customHeight="1" x14ac:dyDescent="0.25">
      <c r="A148" s="183"/>
      <c r="B148" s="153"/>
      <c r="C148" s="277"/>
      <c r="D148" s="227"/>
      <c r="E148" s="228"/>
      <c r="F148" s="228"/>
      <c r="G148" s="228"/>
      <c r="H148" s="694"/>
      <c r="I148" s="695"/>
      <c r="J148" s="695"/>
      <c r="K148" s="695"/>
      <c r="L148" s="696"/>
      <c r="M148" s="696"/>
      <c r="N148" s="696"/>
      <c r="O148" s="697"/>
      <c r="P148" s="697"/>
      <c r="Q148" s="697"/>
      <c r="R148" s="695"/>
      <c r="S148" s="695"/>
      <c r="T148" s="695"/>
      <c r="U148" s="695"/>
      <c r="V148" s="695"/>
      <c r="W148" s="695"/>
      <c r="X148" s="695"/>
      <c r="Y148" s="312"/>
    </row>
    <row r="149" spans="1:25" ht="15" customHeight="1" x14ac:dyDescent="0.25">
      <c r="A149" s="183"/>
      <c r="B149" s="158"/>
      <c r="C149" s="277"/>
      <c r="D149" s="277"/>
      <c r="E149" s="277"/>
      <c r="F149" s="277"/>
      <c r="G149" s="277"/>
      <c r="H149" s="694"/>
      <c r="I149" s="694"/>
      <c r="J149" s="694"/>
      <c r="K149" s="694"/>
      <c r="L149" s="696"/>
      <c r="M149" s="696"/>
      <c r="N149" s="696"/>
      <c r="O149" s="697"/>
      <c r="P149" s="697"/>
      <c r="Q149" s="697"/>
      <c r="R149" s="694"/>
      <c r="S149" s="694"/>
      <c r="T149" s="694"/>
      <c r="U149" s="694"/>
      <c r="V149" s="694"/>
      <c r="W149" s="694"/>
      <c r="X149" s="694"/>
      <c r="Y149" s="190"/>
    </row>
    <row r="150" spans="1:25" ht="15" customHeight="1" x14ac:dyDescent="0.25">
      <c r="A150" s="183"/>
      <c r="B150" s="158"/>
      <c r="C150" s="277"/>
      <c r="D150" s="277"/>
      <c r="E150" s="277"/>
      <c r="F150" s="277"/>
      <c r="G150" s="277"/>
      <c r="H150" s="698"/>
      <c r="I150" s="698"/>
      <c r="J150" s="698"/>
      <c r="K150" s="698"/>
      <c r="L150" s="696"/>
      <c r="M150" s="696"/>
      <c r="N150" s="696"/>
      <c r="O150" s="697"/>
      <c r="P150" s="697"/>
      <c r="Q150" s="697"/>
      <c r="R150" s="694"/>
      <c r="S150" s="694"/>
      <c r="T150" s="694"/>
      <c r="U150" s="694"/>
      <c r="V150" s="694"/>
      <c r="W150" s="694"/>
      <c r="X150" s="694"/>
      <c r="Y150" s="190"/>
    </row>
    <row r="151" spans="1:25" ht="15" customHeight="1" x14ac:dyDescent="0.25">
      <c r="A151" s="183"/>
      <c r="B151" s="158"/>
      <c r="C151" s="272"/>
      <c r="D151" s="272"/>
      <c r="E151" s="272"/>
      <c r="F151" s="272"/>
      <c r="G151" s="272"/>
      <c r="H151" s="695"/>
      <c r="I151" s="695"/>
      <c r="J151" s="695"/>
      <c r="K151" s="695"/>
      <c r="L151" s="696"/>
      <c r="M151" s="696"/>
      <c r="N151" s="696"/>
      <c r="O151" s="695"/>
      <c r="P151" s="695"/>
      <c r="Q151" s="695"/>
      <c r="R151" s="695"/>
      <c r="S151" s="695"/>
      <c r="T151" s="695"/>
      <c r="U151" s="695"/>
      <c r="V151" s="695"/>
      <c r="W151" s="695"/>
      <c r="X151" s="695"/>
      <c r="Y151" s="190"/>
    </row>
    <row r="152" spans="1:25" ht="13.5" customHeight="1" x14ac:dyDescent="0.25">
      <c r="A152" s="183"/>
      <c r="B152" s="158"/>
      <c r="C152" s="272"/>
      <c r="D152" s="272"/>
      <c r="E152" s="272"/>
      <c r="F152" s="272"/>
      <c r="G152" s="272"/>
      <c r="H152" s="699"/>
      <c r="I152" s="699"/>
      <c r="J152" s="699"/>
      <c r="K152" s="699"/>
      <c r="L152" s="696"/>
      <c r="M152" s="696"/>
      <c r="N152" s="696"/>
      <c r="O152" s="695"/>
      <c r="P152" s="234"/>
      <c r="Q152" s="234"/>
      <c r="R152" s="695"/>
      <c r="S152" s="695"/>
      <c r="T152" s="695"/>
      <c r="U152" s="695"/>
      <c r="V152" s="695"/>
      <c r="W152" s="695"/>
      <c r="X152" s="695"/>
      <c r="Y152" s="190"/>
    </row>
    <row r="153" spans="1:25" ht="15.75" customHeight="1" x14ac:dyDescent="0.25">
      <c r="A153" s="183"/>
      <c r="B153" s="153"/>
      <c r="C153" s="272"/>
      <c r="D153" s="227"/>
      <c r="E153" s="228"/>
      <c r="F153" s="228"/>
      <c r="G153" s="228"/>
      <c r="H153" s="314"/>
      <c r="I153" s="314"/>
      <c r="J153" s="314"/>
      <c r="K153" s="314"/>
      <c r="L153" s="314"/>
      <c r="M153" s="314"/>
      <c r="N153" s="314"/>
      <c r="O153" s="700"/>
      <c r="P153" s="700"/>
      <c r="Q153" s="700"/>
      <c r="R153" s="695"/>
      <c r="S153" s="695"/>
      <c r="T153" s="695"/>
      <c r="U153" s="695"/>
      <c r="V153" s="695"/>
      <c r="W153" s="695"/>
      <c r="X153" s="695"/>
      <c r="Y153" s="154"/>
    </row>
    <row r="154" spans="1:25" ht="14.25" customHeight="1" x14ac:dyDescent="0.25">
      <c r="A154" s="183"/>
      <c r="B154" s="153"/>
      <c r="C154" s="277"/>
      <c r="D154" s="227"/>
      <c r="E154" s="228"/>
      <c r="F154" s="228"/>
      <c r="G154" s="228"/>
      <c r="H154" s="314"/>
      <c r="I154" s="314"/>
      <c r="J154" s="314"/>
      <c r="K154" s="314"/>
      <c r="L154" s="314"/>
      <c r="M154" s="314"/>
      <c r="N154" s="314"/>
      <c r="O154" s="700"/>
      <c r="P154" s="700"/>
      <c r="Q154" s="700"/>
      <c r="R154" s="694"/>
      <c r="S154" s="694"/>
      <c r="T154" s="694"/>
      <c r="U154" s="694"/>
      <c r="V154" s="694"/>
      <c r="W154" s="694"/>
      <c r="X154" s="694"/>
      <c r="Y154" s="190"/>
    </row>
    <row r="155" spans="1:25" ht="14.25" customHeight="1" x14ac:dyDescent="0.25">
      <c r="A155" s="183"/>
      <c r="B155" s="158"/>
      <c r="C155" s="277"/>
      <c r="D155" s="227"/>
      <c r="E155" s="228"/>
      <c r="F155" s="228"/>
      <c r="G155" s="228"/>
      <c r="H155" s="695"/>
      <c r="I155" s="695"/>
      <c r="J155" s="695"/>
      <c r="K155" s="695"/>
      <c r="L155" s="696"/>
      <c r="M155" s="696"/>
      <c r="N155" s="696"/>
      <c r="O155" s="695"/>
      <c r="P155" s="695"/>
      <c r="Q155" s="695"/>
      <c r="R155" s="695"/>
      <c r="S155" s="695"/>
      <c r="T155" s="695"/>
      <c r="U155" s="695"/>
      <c r="V155" s="695"/>
      <c r="W155" s="695"/>
      <c r="X155" s="695"/>
      <c r="Y155" s="154"/>
    </row>
    <row r="156" spans="1:25" ht="9" customHeight="1" x14ac:dyDescent="0.25">
      <c r="A156" s="183"/>
      <c r="B156" s="153"/>
      <c r="C156" s="277"/>
      <c r="D156" s="277"/>
      <c r="E156" s="272"/>
      <c r="F156" s="272"/>
      <c r="G156" s="272"/>
      <c r="H156" s="695"/>
      <c r="I156" s="695"/>
      <c r="J156" s="695"/>
      <c r="K156" s="695"/>
      <c r="L156" s="701"/>
      <c r="M156" s="701"/>
      <c r="N156" s="701"/>
      <c r="O156" s="695"/>
      <c r="P156" s="695"/>
      <c r="Q156" s="695"/>
      <c r="R156" s="695"/>
      <c r="S156" s="695"/>
      <c r="T156" s="695"/>
      <c r="U156" s="695"/>
      <c r="V156" s="695"/>
      <c r="W156" s="695"/>
      <c r="X156" s="695"/>
      <c r="Y156" s="190"/>
    </row>
    <row r="157" spans="1:25" x14ac:dyDescent="0.25">
      <c r="A157" s="183"/>
      <c r="B157" s="158"/>
      <c r="C157" s="702"/>
      <c r="D157" s="703"/>
      <c r="E157" s="703"/>
      <c r="F157" s="703"/>
      <c r="G157" s="234"/>
      <c r="H157" s="234"/>
      <c r="I157" s="234"/>
      <c r="J157" s="234"/>
      <c r="K157" s="234"/>
      <c r="L157" s="234"/>
      <c r="M157" s="234"/>
      <c r="N157" s="703"/>
      <c r="O157" s="703"/>
      <c r="P157" s="703"/>
      <c r="Q157" s="703"/>
      <c r="R157" s="703"/>
      <c r="S157" s="234"/>
      <c r="T157" s="234"/>
      <c r="U157" s="234"/>
      <c r="V157" s="234"/>
      <c r="W157" s="234"/>
      <c r="X157" s="234"/>
      <c r="Y157" s="154"/>
    </row>
    <row r="158" spans="1:25" x14ac:dyDescent="0.25">
      <c r="A158" s="183"/>
      <c r="B158" s="153"/>
      <c r="C158" s="234"/>
      <c r="D158" s="234"/>
      <c r="E158" s="234"/>
      <c r="F158" s="234"/>
      <c r="G158" s="703"/>
      <c r="H158" s="703"/>
      <c r="I158" s="703"/>
      <c r="J158" s="703"/>
      <c r="K158" s="703"/>
      <c r="L158" s="703"/>
      <c r="M158" s="703"/>
      <c r="N158" s="234"/>
      <c r="O158" s="234"/>
      <c r="P158" s="234"/>
      <c r="Q158" s="234"/>
      <c r="R158" s="234"/>
      <c r="S158" s="703"/>
      <c r="T158" s="703"/>
      <c r="U158" s="703"/>
      <c r="V158" s="703"/>
      <c r="W158" s="703"/>
      <c r="X158" s="703"/>
      <c r="Y158" s="190"/>
    </row>
    <row r="159" spans="1:25" x14ac:dyDescent="0.25">
      <c r="A159" s="183"/>
      <c r="B159" s="153"/>
      <c r="C159" s="154"/>
      <c r="D159" s="154"/>
      <c r="E159" s="154"/>
      <c r="F159" s="154"/>
      <c r="G159" s="190"/>
      <c r="H159" s="190"/>
      <c r="I159" s="190"/>
      <c r="J159" s="190"/>
      <c r="K159" s="190"/>
      <c r="L159" s="190"/>
      <c r="M159" s="190"/>
      <c r="N159" s="154"/>
      <c r="O159" s="154"/>
      <c r="P159" s="154"/>
      <c r="Q159" s="154"/>
      <c r="R159" s="154"/>
      <c r="S159" s="190"/>
      <c r="T159" s="190"/>
      <c r="U159" s="190"/>
      <c r="V159" s="190"/>
      <c r="W159" s="190"/>
      <c r="X159" s="190"/>
      <c r="Y159" s="154"/>
    </row>
    <row r="160" spans="1:25" x14ac:dyDescent="0.25">
      <c r="A160" s="183"/>
      <c r="B160" s="155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</row>
    <row r="161" spans="1:25" x14ac:dyDescent="0.25">
      <c r="A161" s="183"/>
      <c r="B161" s="153"/>
      <c r="C161" s="190"/>
      <c r="D161" s="190"/>
      <c r="E161" s="190"/>
      <c r="F161" s="190"/>
      <c r="G161" s="154"/>
      <c r="H161" s="154"/>
      <c r="I161" s="154"/>
      <c r="J161" s="154"/>
      <c r="K161" s="154"/>
      <c r="L161" s="154"/>
      <c r="M161" s="154"/>
      <c r="N161" s="190"/>
      <c r="O161" s="190"/>
      <c r="P161" s="190"/>
      <c r="Q161" s="190"/>
      <c r="R161" s="190"/>
      <c r="S161" s="154"/>
      <c r="T161" s="154"/>
      <c r="U161" s="154"/>
      <c r="V161" s="154"/>
      <c r="W161" s="154"/>
      <c r="X161" s="154"/>
      <c r="Y161" s="156"/>
    </row>
    <row r="162" spans="1:25" x14ac:dyDescent="0.25">
      <c r="A162" s="183"/>
      <c r="B162" s="153"/>
      <c r="C162" s="154"/>
      <c r="D162" s="154"/>
      <c r="E162" s="154"/>
      <c r="F162" s="154"/>
      <c r="G162" s="190"/>
      <c r="H162" s="190"/>
      <c r="I162" s="190"/>
      <c r="J162" s="190"/>
      <c r="K162" s="190"/>
      <c r="L162" s="190"/>
      <c r="M162" s="190"/>
      <c r="N162" s="154"/>
      <c r="O162" s="154"/>
      <c r="P162" s="154"/>
      <c r="Q162" s="154"/>
      <c r="R162" s="154"/>
      <c r="S162" s="190"/>
      <c r="T162" s="190"/>
      <c r="U162" s="190"/>
      <c r="V162" s="190"/>
      <c r="W162" s="190"/>
      <c r="X162" s="190"/>
      <c r="Y162" s="143"/>
    </row>
    <row r="163" spans="1:25" x14ac:dyDescent="0.25">
      <c r="A163" s="183"/>
      <c r="B163" s="135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43"/>
    </row>
    <row r="164" spans="1:25" x14ac:dyDescent="0.25">
      <c r="A164" s="179"/>
      <c r="B164" s="196"/>
      <c r="C164" s="155"/>
      <c r="D164" s="155"/>
      <c r="E164" s="155"/>
      <c r="F164" s="155"/>
      <c r="G164" s="154"/>
      <c r="H164" s="154"/>
      <c r="I164" s="154"/>
      <c r="J164" s="154"/>
      <c r="K164" s="154"/>
      <c r="L164" s="154"/>
      <c r="M164" s="154"/>
      <c r="N164" s="156"/>
      <c r="O164" s="156"/>
      <c r="P164" s="156"/>
      <c r="Q164" s="156"/>
      <c r="R164" s="156"/>
      <c r="S164" s="154"/>
      <c r="T164" s="154"/>
      <c r="U164" s="154"/>
      <c r="V164" s="154"/>
      <c r="W164" s="154"/>
      <c r="X164" s="154"/>
      <c r="Y164" s="135"/>
    </row>
    <row r="165" spans="1:25" x14ac:dyDescent="0.25">
      <c r="A165" s="179"/>
      <c r="B165" s="196"/>
      <c r="C165" s="154"/>
      <c r="D165" s="154"/>
      <c r="E165" s="154"/>
      <c r="F165" s="154"/>
      <c r="G165" s="155"/>
      <c r="H165" s="155"/>
      <c r="I165" s="155"/>
      <c r="J165" s="156"/>
      <c r="K165" s="156"/>
      <c r="L165" s="156"/>
      <c r="M165" s="156"/>
      <c r="N165" s="154"/>
      <c r="O165" s="154"/>
      <c r="P165" s="154"/>
      <c r="Q165" s="143"/>
      <c r="R165" s="143"/>
      <c r="S165" s="156"/>
      <c r="T165" s="156"/>
      <c r="U165" s="156"/>
      <c r="V165" s="156"/>
      <c r="W165" s="156"/>
      <c r="X165" s="156"/>
      <c r="Y165" s="157"/>
    </row>
    <row r="166" spans="1:25" x14ac:dyDescent="0.25">
      <c r="A166" s="179"/>
      <c r="B166" s="196"/>
      <c r="C166" s="153"/>
      <c r="D166" s="153"/>
      <c r="E166" s="153"/>
      <c r="F166" s="153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43"/>
      <c r="R166" s="143"/>
      <c r="S166" s="143"/>
      <c r="T166" s="143"/>
      <c r="U166" s="143"/>
      <c r="V166" s="143"/>
      <c r="W166" s="143"/>
      <c r="X166" s="143"/>
      <c r="Y166" s="157"/>
    </row>
    <row r="167" spans="1:25" x14ac:dyDescent="0.25">
      <c r="A167" s="179"/>
      <c r="B167" s="196"/>
      <c r="C167" s="135"/>
      <c r="D167" s="135"/>
      <c r="E167" s="135"/>
      <c r="F167" s="135"/>
      <c r="G167" s="153"/>
      <c r="H167" s="153"/>
      <c r="I167" s="154"/>
      <c r="J167" s="154"/>
      <c r="K167" s="154"/>
      <c r="L167" s="154"/>
      <c r="M167" s="154"/>
      <c r="N167" s="158"/>
      <c r="O167" s="158"/>
      <c r="P167" s="158"/>
      <c r="Q167" s="158"/>
      <c r="R167" s="158"/>
      <c r="S167" s="143"/>
      <c r="T167" s="143"/>
      <c r="U167" s="143"/>
      <c r="V167" s="143"/>
      <c r="W167" s="143"/>
      <c r="X167" s="143"/>
      <c r="Y167" s="157"/>
    </row>
    <row r="168" spans="1:25" x14ac:dyDescent="0.25">
      <c r="B168" s="129"/>
      <c r="C168" s="159"/>
      <c r="D168" s="159"/>
      <c r="E168" s="159"/>
      <c r="F168" s="159"/>
      <c r="G168" s="135"/>
      <c r="H168" s="135"/>
      <c r="I168" s="135"/>
      <c r="J168" s="158"/>
      <c r="K168" s="158"/>
      <c r="L168" s="158"/>
      <c r="M168" s="158"/>
      <c r="N168" s="159"/>
      <c r="O168" s="159"/>
      <c r="P168" s="159"/>
      <c r="Q168" s="157"/>
      <c r="R168" s="157"/>
      <c r="S168" s="158"/>
      <c r="T168" s="158"/>
      <c r="U168" s="158"/>
      <c r="V168" s="135"/>
      <c r="W168" s="135"/>
      <c r="X168" s="135"/>
      <c r="Y168" s="157"/>
    </row>
    <row r="169" spans="1:25" x14ac:dyDescent="0.25">
      <c r="B169" s="12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7"/>
      <c r="R169" s="157"/>
      <c r="S169" s="157"/>
      <c r="T169" s="157"/>
      <c r="U169" s="157"/>
      <c r="V169" s="157"/>
      <c r="W169" s="157"/>
      <c r="X169" s="157"/>
      <c r="Y169" s="157"/>
    </row>
    <row r="170" spans="1:25" x14ac:dyDescent="0.25">
      <c r="B170" s="12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7"/>
      <c r="R170" s="157"/>
      <c r="S170" s="157"/>
      <c r="T170" s="157"/>
      <c r="U170" s="157"/>
      <c r="V170" s="157"/>
      <c r="W170" s="157"/>
      <c r="X170" s="157"/>
      <c r="Y170" s="157"/>
    </row>
    <row r="171" spans="1:25" x14ac:dyDescent="0.25">
      <c r="B171" s="12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60"/>
      <c r="O171" s="161"/>
      <c r="P171" s="160"/>
      <c r="Q171" s="160"/>
      <c r="R171" s="160"/>
      <c r="S171" s="157"/>
      <c r="T171" s="157"/>
      <c r="U171" s="157"/>
      <c r="V171" s="157"/>
      <c r="W171" s="157"/>
      <c r="X171" s="157"/>
      <c r="Y171" s="157"/>
    </row>
    <row r="172" spans="1:25" x14ac:dyDescent="0.25">
      <c r="B172" s="122"/>
      <c r="C172" s="159"/>
      <c r="D172" s="159"/>
      <c r="E172" s="159"/>
      <c r="F172" s="159"/>
      <c r="G172" s="159"/>
      <c r="H172" s="159"/>
      <c r="I172" s="159"/>
      <c r="J172" s="160"/>
      <c r="K172" s="160"/>
      <c r="L172" s="160"/>
      <c r="M172" s="160"/>
      <c r="S172" s="160"/>
      <c r="T172" s="157"/>
      <c r="U172" s="157"/>
      <c r="V172" s="157"/>
      <c r="W172" s="157"/>
      <c r="X172" s="157"/>
      <c r="Y172" s="157"/>
    </row>
    <row r="173" spans="1:25" x14ac:dyDescent="0.25">
      <c r="B173" s="121"/>
      <c r="C173" s="159"/>
      <c r="D173" s="159"/>
      <c r="E173" s="159"/>
      <c r="F173" s="159"/>
      <c r="G173" s="159"/>
      <c r="H173" s="159"/>
      <c r="I173" s="159"/>
      <c r="J173" s="160"/>
      <c r="T173" s="157"/>
      <c r="U173" s="157"/>
      <c r="V173" s="157"/>
      <c r="W173" s="157"/>
      <c r="X173" s="157"/>
      <c r="Y173" s="123"/>
    </row>
    <row r="174" spans="1:25" x14ac:dyDescent="0.25">
      <c r="B174" s="162"/>
      <c r="C174" s="159"/>
      <c r="D174" s="159"/>
      <c r="E174" s="159"/>
      <c r="F174" s="159"/>
      <c r="G174" s="159"/>
      <c r="H174" s="159"/>
      <c r="I174" s="159"/>
      <c r="J174" s="160"/>
      <c r="T174" s="157"/>
      <c r="U174" s="157"/>
      <c r="V174" s="157"/>
      <c r="W174" s="157"/>
      <c r="X174" s="157"/>
      <c r="Y174" s="123"/>
    </row>
    <row r="175" spans="1:25" x14ac:dyDescent="0.25">
      <c r="B175" s="162"/>
      <c r="C175" s="159"/>
      <c r="D175" s="159"/>
      <c r="E175" s="159"/>
      <c r="F175" s="159"/>
      <c r="G175" s="159"/>
      <c r="H175" s="159"/>
      <c r="I175" s="159"/>
      <c r="J175" s="160"/>
      <c r="N175" s="159"/>
      <c r="O175" s="159"/>
      <c r="P175" s="159"/>
      <c r="Q175" s="157"/>
      <c r="R175" s="157"/>
      <c r="T175" s="157"/>
      <c r="U175" s="157"/>
      <c r="V175" s="157"/>
      <c r="W175" s="157"/>
      <c r="X175" s="157"/>
      <c r="Y175" s="163"/>
    </row>
    <row r="176" spans="1:25" x14ac:dyDescent="0.25">
      <c r="B176" s="162"/>
      <c r="C176" s="122"/>
      <c r="D176" s="122"/>
      <c r="E176" s="122"/>
      <c r="F176" s="122"/>
      <c r="G176" s="159"/>
      <c r="H176" s="159"/>
      <c r="I176" s="159"/>
      <c r="J176" s="159"/>
      <c r="K176" s="159"/>
      <c r="L176" s="159"/>
      <c r="M176" s="159"/>
      <c r="N176" s="123"/>
      <c r="O176" s="123"/>
      <c r="P176" s="123"/>
      <c r="Q176" s="123"/>
      <c r="R176" s="123"/>
      <c r="S176" s="157"/>
      <c r="T176" s="157"/>
      <c r="U176" s="157"/>
      <c r="V176" s="157"/>
      <c r="W176" s="157"/>
      <c r="X176" s="157"/>
      <c r="Y176" s="163"/>
    </row>
    <row r="177" spans="2:25" x14ac:dyDescent="0.25">
      <c r="B177" s="164"/>
      <c r="C177" s="122"/>
      <c r="D177" s="122"/>
      <c r="E177" s="122"/>
      <c r="F177" s="122"/>
      <c r="G177" s="122"/>
      <c r="H177" s="122"/>
      <c r="I177" s="122"/>
      <c r="J177" s="122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63"/>
    </row>
    <row r="178" spans="2:25" x14ac:dyDescent="0.25">
      <c r="B178" s="162"/>
      <c r="C178" s="163"/>
      <c r="D178" s="163"/>
      <c r="E178" s="163"/>
      <c r="F178" s="163"/>
      <c r="G178" s="122"/>
      <c r="H178" s="122"/>
      <c r="I178" s="122"/>
      <c r="J178" s="122"/>
      <c r="K178" s="123"/>
      <c r="L178" s="123"/>
      <c r="M178" s="123"/>
      <c r="N178" s="163"/>
      <c r="O178" s="163"/>
      <c r="P178" s="163"/>
      <c r="Q178" s="163"/>
      <c r="R178" s="163"/>
      <c r="S178" s="123"/>
      <c r="T178" s="123"/>
      <c r="U178" s="123"/>
      <c r="V178" s="123"/>
      <c r="W178" s="123"/>
      <c r="X178" s="123"/>
      <c r="Y178" s="165"/>
    </row>
    <row r="179" spans="2:25" x14ac:dyDescent="0.25">
      <c r="B179" s="164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</row>
    <row r="180" spans="2:25" x14ac:dyDescent="0.25">
      <c r="B180" s="162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5"/>
    </row>
    <row r="181" spans="2:25" x14ac:dyDescent="0.25">
      <c r="B181" s="164"/>
      <c r="C181" s="165"/>
      <c r="D181" s="165"/>
      <c r="E181" s="165"/>
      <c r="F181" s="165"/>
      <c r="G181" s="163"/>
      <c r="H181" s="163"/>
      <c r="I181" s="163"/>
      <c r="J181" s="163"/>
      <c r="K181" s="163"/>
      <c r="L181" s="163"/>
      <c r="M181" s="163"/>
      <c r="N181" s="165"/>
      <c r="O181" s="165"/>
      <c r="P181" s="165"/>
      <c r="Q181" s="165"/>
      <c r="R181" s="165"/>
      <c r="S181" s="163"/>
      <c r="T181" s="163"/>
      <c r="U181" s="163"/>
      <c r="V181" s="163"/>
      <c r="W181" s="163"/>
      <c r="X181" s="163"/>
      <c r="Y181" s="163"/>
    </row>
    <row r="182" spans="2:25" x14ac:dyDescent="0.25">
      <c r="B182" s="162"/>
      <c r="C182" s="163"/>
      <c r="D182" s="163"/>
      <c r="E182" s="163"/>
      <c r="F182" s="163"/>
      <c r="G182" s="165"/>
      <c r="H182" s="165"/>
      <c r="I182" s="165"/>
      <c r="J182" s="165"/>
      <c r="K182" s="165"/>
      <c r="L182" s="165"/>
      <c r="M182" s="165"/>
      <c r="N182" s="163"/>
      <c r="O182" s="163"/>
      <c r="P182" s="163"/>
      <c r="Q182" s="163"/>
      <c r="R182" s="163"/>
      <c r="S182" s="165"/>
      <c r="T182" s="165"/>
      <c r="U182" s="165"/>
      <c r="V182" s="165"/>
      <c r="W182" s="165"/>
      <c r="X182" s="165"/>
      <c r="Y182" s="165"/>
    </row>
    <row r="183" spans="2:25" x14ac:dyDescent="0.25">
      <c r="B183" s="162"/>
      <c r="C183" s="165"/>
      <c r="D183" s="165"/>
      <c r="E183" s="165"/>
      <c r="F183" s="165"/>
      <c r="G183" s="163"/>
      <c r="H183" s="163"/>
      <c r="I183" s="163"/>
      <c r="J183" s="163"/>
      <c r="K183" s="163"/>
      <c r="L183" s="163"/>
      <c r="M183" s="163"/>
      <c r="N183" s="165"/>
      <c r="O183" s="165"/>
      <c r="P183" s="165"/>
      <c r="Q183" s="165"/>
      <c r="R183" s="165"/>
      <c r="S183" s="163"/>
      <c r="T183" s="163"/>
      <c r="U183" s="163"/>
      <c r="V183" s="163"/>
      <c r="W183" s="163"/>
      <c r="X183" s="163"/>
      <c r="Y183" s="163"/>
    </row>
    <row r="184" spans="2:25" x14ac:dyDescent="0.25">
      <c r="B184" s="162"/>
      <c r="C184" s="163"/>
      <c r="D184" s="163"/>
      <c r="E184" s="163"/>
      <c r="F184" s="163"/>
      <c r="G184" s="165"/>
      <c r="H184" s="165"/>
      <c r="I184" s="165"/>
      <c r="J184" s="165"/>
      <c r="K184" s="165"/>
      <c r="L184" s="165"/>
      <c r="M184" s="165"/>
      <c r="N184" s="163"/>
      <c r="O184" s="163"/>
      <c r="P184" s="163"/>
      <c r="Q184" s="163"/>
      <c r="R184" s="163"/>
      <c r="S184" s="165"/>
      <c r="T184" s="165"/>
      <c r="U184" s="165"/>
      <c r="V184" s="165"/>
      <c r="W184" s="165"/>
      <c r="X184" s="165"/>
      <c r="Y184" s="163"/>
    </row>
    <row r="185" spans="2:25" x14ac:dyDescent="0.25">
      <c r="B185" s="162"/>
      <c r="C185" s="165"/>
      <c r="D185" s="165"/>
      <c r="E185" s="165"/>
      <c r="F185" s="165"/>
      <c r="G185" s="163"/>
      <c r="H185" s="163"/>
      <c r="I185" s="163"/>
      <c r="J185" s="163"/>
      <c r="K185" s="163"/>
      <c r="L185" s="163"/>
      <c r="M185" s="163"/>
      <c r="N185" s="165"/>
      <c r="O185" s="165"/>
      <c r="P185" s="165"/>
      <c r="Q185" s="165"/>
      <c r="R185" s="165"/>
      <c r="S185" s="163"/>
      <c r="T185" s="163"/>
      <c r="U185" s="163"/>
      <c r="V185" s="163"/>
      <c r="W185" s="163"/>
      <c r="X185" s="163"/>
      <c r="Y185" s="163"/>
    </row>
    <row r="186" spans="2:25" x14ac:dyDescent="0.25">
      <c r="B186" s="166"/>
      <c r="C186" s="163"/>
      <c r="D186" s="163"/>
      <c r="E186" s="163"/>
      <c r="F186" s="163"/>
      <c r="G186" s="165"/>
      <c r="H186" s="165"/>
      <c r="I186" s="165"/>
      <c r="J186" s="165"/>
      <c r="K186" s="165"/>
      <c r="L186" s="165"/>
      <c r="M186" s="165"/>
      <c r="N186" s="163"/>
      <c r="O186" s="163"/>
      <c r="P186" s="163"/>
      <c r="Q186" s="163"/>
      <c r="R186" s="163"/>
      <c r="S186" s="165"/>
      <c r="T186" s="165"/>
      <c r="U186" s="165"/>
      <c r="V186" s="165"/>
      <c r="W186" s="165"/>
      <c r="X186" s="165"/>
      <c r="Y186" s="163"/>
    </row>
    <row r="187" spans="2:25" x14ac:dyDescent="0.25">
      <c r="B187" s="118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7"/>
    </row>
    <row r="188" spans="2:25" x14ac:dyDescent="0.25">
      <c r="B188" s="135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8"/>
    </row>
    <row r="189" spans="2:25" x14ac:dyDescent="0.25">
      <c r="B189" s="135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22"/>
    </row>
    <row r="190" spans="2:25" x14ac:dyDescent="0.25">
      <c r="B190" s="135"/>
      <c r="C190" s="167"/>
      <c r="D190" s="167"/>
      <c r="E190" s="167"/>
      <c r="F190" s="167"/>
      <c r="G190" s="163"/>
      <c r="H190" s="163"/>
      <c r="I190" s="163"/>
      <c r="J190" s="163"/>
      <c r="K190" s="163"/>
      <c r="L190" s="163"/>
      <c r="M190" s="163"/>
      <c r="N190" s="167"/>
      <c r="O190" s="167"/>
      <c r="P190" s="167"/>
      <c r="Q190" s="167"/>
      <c r="R190" s="167"/>
      <c r="S190" s="163"/>
      <c r="T190" s="163"/>
      <c r="U190" s="163"/>
      <c r="V190" s="163"/>
      <c r="W190" s="163"/>
      <c r="X190" s="163"/>
      <c r="Y190" s="22"/>
    </row>
    <row r="191" spans="2:25" x14ac:dyDescent="0.25">
      <c r="B191" s="1134"/>
      <c r="C191" s="168"/>
      <c r="D191" s="168"/>
      <c r="E191" s="168"/>
      <c r="F191" s="168"/>
      <c r="G191" s="167"/>
      <c r="H191" s="167"/>
      <c r="I191" s="167"/>
      <c r="J191" s="167"/>
      <c r="K191" s="167"/>
      <c r="L191" s="167"/>
      <c r="M191" s="167"/>
      <c r="N191" s="168"/>
      <c r="O191" s="168"/>
      <c r="P191" s="168"/>
      <c r="Q191" s="168"/>
      <c r="R191" s="168"/>
      <c r="S191" s="167"/>
      <c r="T191" s="167"/>
      <c r="U191" s="167"/>
      <c r="V191" s="167"/>
      <c r="W191" s="167"/>
      <c r="X191" s="167"/>
      <c r="Y191" s="22"/>
    </row>
    <row r="192" spans="2:25" x14ac:dyDescent="0.25">
      <c r="B192" s="1134"/>
      <c r="C192" s="135"/>
      <c r="D192" s="135"/>
      <c r="E192" s="135"/>
      <c r="F192" s="135"/>
      <c r="G192" s="168"/>
      <c r="H192" s="168"/>
      <c r="I192" s="168"/>
      <c r="J192" s="168"/>
      <c r="K192" s="168"/>
      <c r="L192" s="168"/>
      <c r="M192" s="168"/>
      <c r="N192" s="22"/>
      <c r="O192" s="22"/>
      <c r="P192" s="22"/>
      <c r="Q192" s="22"/>
      <c r="R192" s="22"/>
      <c r="S192" s="168"/>
      <c r="T192" s="168"/>
      <c r="U192" s="168"/>
      <c r="V192" s="168"/>
      <c r="W192" s="168"/>
      <c r="X192" s="168"/>
      <c r="Y192" s="22"/>
    </row>
    <row r="193" spans="2:25" x14ac:dyDescent="0.25">
      <c r="B193" s="1134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</row>
    <row r="194" spans="2:25" x14ac:dyDescent="0.25">
      <c r="B194" s="119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</row>
    <row r="195" spans="2:25" x14ac:dyDescent="0.25">
      <c r="B195" s="119"/>
      <c r="C195" s="169"/>
      <c r="D195" s="169"/>
      <c r="E195" s="169"/>
      <c r="F195" s="169"/>
      <c r="G195" s="135"/>
      <c r="H195" s="135"/>
      <c r="I195" s="135"/>
      <c r="J195" s="135"/>
      <c r="K195" s="135"/>
      <c r="L195" s="135"/>
      <c r="M195" s="135"/>
      <c r="N195" s="169"/>
      <c r="O195" s="169"/>
      <c r="P195" s="169"/>
      <c r="Q195" s="22"/>
      <c r="R195" s="22"/>
      <c r="S195" s="22"/>
      <c r="T195" s="22"/>
      <c r="U195" s="22"/>
      <c r="V195" s="22"/>
      <c r="W195" s="22"/>
      <c r="X195" s="22"/>
      <c r="Y195" s="22"/>
    </row>
    <row r="196" spans="2:25" x14ac:dyDescent="0.25">
      <c r="B196" s="119"/>
      <c r="C196" s="169"/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70"/>
      <c r="O196" s="170"/>
      <c r="P196" s="170"/>
      <c r="Q196" s="22"/>
      <c r="R196" s="22"/>
      <c r="S196" s="22"/>
      <c r="T196" s="22"/>
      <c r="U196" s="22"/>
      <c r="V196" s="22"/>
      <c r="W196" s="22"/>
      <c r="X196" s="22"/>
      <c r="Y196" s="22"/>
    </row>
    <row r="197" spans="2:25" x14ac:dyDescent="0.25">
      <c r="B197" s="119"/>
      <c r="C197" s="169"/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55"/>
      <c r="O197" s="155"/>
      <c r="P197" s="155"/>
      <c r="Q197" s="22"/>
      <c r="R197" s="22"/>
      <c r="S197" s="22"/>
      <c r="T197" s="22"/>
      <c r="U197" s="22"/>
      <c r="V197" s="22"/>
      <c r="W197" s="22"/>
      <c r="X197" s="22"/>
      <c r="Y197" s="22"/>
    </row>
    <row r="198" spans="2:25" x14ac:dyDescent="0.25">
      <c r="B198" s="119"/>
      <c r="C198" s="22"/>
      <c r="D198" s="22"/>
      <c r="E198" s="22"/>
      <c r="F198" s="22"/>
      <c r="G198" s="169"/>
      <c r="H198" s="169"/>
      <c r="I198" s="169"/>
      <c r="J198" s="169"/>
      <c r="K198" s="169"/>
      <c r="L198" s="169"/>
      <c r="M198" s="169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</row>
    <row r="199" spans="2:25" x14ac:dyDescent="0.25">
      <c r="B199" s="119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</row>
    <row r="200" spans="2:25" x14ac:dyDescent="0.25">
      <c r="B200" s="119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</row>
    <row r="201" spans="2:25" x14ac:dyDescent="0.25">
      <c r="B201" s="119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</row>
    <row r="202" spans="2:25" x14ac:dyDescent="0.25">
      <c r="B202" s="119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</row>
    <row r="203" spans="2:25" x14ac:dyDescent="0.25">
      <c r="B203" s="119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</row>
    <row r="204" spans="2:25" x14ac:dyDescent="0.25">
      <c r="B204" s="119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</row>
    <row r="205" spans="2:25" x14ac:dyDescent="0.25">
      <c r="B205" s="119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</row>
    <row r="206" spans="2:25" x14ac:dyDescent="0.25">
      <c r="B206" s="119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</row>
    <row r="207" spans="2:25" x14ac:dyDescent="0.25">
      <c r="B207" s="119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</row>
    <row r="208" spans="2:25" x14ac:dyDescent="0.25">
      <c r="B208" s="119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</row>
    <row r="209" spans="2:25" x14ac:dyDescent="0.25">
      <c r="B209" s="119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</row>
    <row r="210" spans="2:25" x14ac:dyDescent="0.25">
      <c r="B210" s="119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</row>
    <row r="211" spans="2:25" x14ac:dyDescent="0.25">
      <c r="B211" s="119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</row>
    <row r="212" spans="2:25" x14ac:dyDescent="0.25">
      <c r="B212" s="119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</row>
    <row r="213" spans="2:25" x14ac:dyDescent="0.2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</row>
    <row r="214" spans="2:25" x14ac:dyDescent="0.2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2:25" x14ac:dyDescent="0.2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2:25" x14ac:dyDescent="0.2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2:25" x14ac:dyDescent="0.25">
      <c r="G217" s="22"/>
      <c r="H217" s="22"/>
      <c r="I217" s="22"/>
      <c r="J217" s="22"/>
      <c r="K217" s="22"/>
      <c r="L217" s="22"/>
      <c r="M217" s="22"/>
      <c r="S217" s="22"/>
      <c r="T217" s="22"/>
      <c r="U217" s="22"/>
      <c r="V217" s="22"/>
      <c r="W217" s="22"/>
      <c r="X217" s="22"/>
    </row>
  </sheetData>
  <sheetProtection algorithmName="SHA-512" hashValue="ivsLu00WVWPsHFeS2V1f2ncVDXuRMCG2ZMC8bAFeWZRQDFMV2IJNRTJ1px0++GUYXmG+3+7oSRK56b5pdzP1jQ==" saltValue="cfsmlaMqqvitORYcm1QUcQ==" spinCount="100000" sheet="1" objects="1" scenarios="1" selectLockedCells="1" selectUnlockedCells="1"/>
  <mergeCells count="174">
    <mergeCell ref="R30:X30"/>
    <mergeCell ref="H30:K30"/>
    <mergeCell ref="L30:N30"/>
    <mergeCell ref="O30:Q30"/>
    <mergeCell ref="M24:P24"/>
    <mergeCell ref="M22:P22"/>
    <mergeCell ref="H31:K31"/>
    <mergeCell ref="L31:N31"/>
    <mergeCell ref="O31:Q31"/>
    <mergeCell ref="R31:X31"/>
    <mergeCell ref="H28:K28"/>
    <mergeCell ref="L28:N28"/>
    <mergeCell ref="O28:Q28"/>
    <mergeCell ref="R28:X28"/>
    <mergeCell ref="H29:K29"/>
    <mergeCell ref="L29:N29"/>
    <mergeCell ref="O29:Q29"/>
    <mergeCell ref="R29:X29"/>
    <mergeCell ref="H26:N26"/>
    <mergeCell ref="O26:Q27"/>
    <mergeCell ref="R26:X27"/>
    <mergeCell ref="H33:K33"/>
    <mergeCell ref="L33:N33"/>
    <mergeCell ref="O33:Q33"/>
    <mergeCell ref="R33:X33"/>
    <mergeCell ref="O51:Q52"/>
    <mergeCell ref="L52:N52"/>
    <mergeCell ref="O135:X135"/>
    <mergeCell ref="C79:G79"/>
    <mergeCell ref="C51:G52"/>
    <mergeCell ref="H78:K78"/>
    <mergeCell ref="L78:N78"/>
    <mergeCell ref="L82:N82"/>
    <mergeCell ref="O85:V85"/>
    <mergeCell ref="H111:K111"/>
    <mergeCell ref="L111:N111"/>
    <mergeCell ref="O111:Q111"/>
    <mergeCell ref="R51:X52"/>
    <mergeCell ref="O82:Q82"/>
    <mergeCell ref="H82:K82"/>
    <mergeCell ref="H81:K81"/>
    <mergeCell ref="L81:N81"/>
    <mergeCell ref="L80:N80"/>
    <mergeCell ref="O134:X134"/>
    <mergeCell ref="D134:I134"/>
    <mergeCell ref="R83:X83"/>
    <mergeCell ref="H84:K84"/>
    <mergeCell ref="L84:N84"/>
    <mergeCell ref="O84:Q84"/>
    <mergeCell ref="R84:X84"/>
    <mergeCell ref="C77:G78"/>
    <mergeCell ref="H77:N77"/>
    <mergeCell ref="H109:K109"/>
    <mergeCell ref="L109:N109"/>
    <mergeCell ref="H79:K79"/>
    <mergeCell ref="O80:Q80"/>
    <mergeCell ref="R80:X80"/>
    <mergeCell ref="H80:K80"/>
    <mergeCell ref="O109:Q109"/>
    <mergeCell ref="R109:X109"/>
    <mergeCell ref="H107:K107"/>
    <mergeCell ref="L107:N107"/>
    <mergeCell ref="O108:Q108"/>
    <mergeCell ref="R108:X108"/>
    <mergeCell ref="L79:N79"/>
    <mergeCell ref="R82:X82"/>
    <mergeCell ref="O83:Q83"/>
    <mergeCell ref="C80:G80"/>
    <mergeCell ref="H115:K115"/>
    <mergeCell ref="L115:N115"/>
    <mergeCell ref="O115:Q115"/>
    <mergeCell ref="R115:X115"/>
    <mergeCell ref="C106:G107"/>
    <mergeCell ref="H106:N106"/>
    <mergeCell ref="O106:Q107"/>
    <mergeCell ref="R106:X107"/>
    <mergeCell ref="C109:G109"/>
    <mergeCell ref="H110:K110"/>
    <mergeCell ref="L113:N113"/>
    <mergeCell ref="O113:Q113"/>
    <mergeCell ref="R113:X113"/>
    <mergeCell ref="H114:K114"/>
    <mergeCell ref="L114:N114"/>
    <mergeCell ref="O114:Q114"/>
    <mergeCell ref="L110:N110"/>
    <mergeCell ref="O110:Q110"/>
    <mergeCell ref="R111:X111"/>
    <mergeCell ref="H112:K112"/>
    <mergeCell ref="L112:N112"/>
    <mergeCell ref="R114:X114"/>
    <mergeCell ref="R110:X110"/>
    <mergeCell ref="H54:K54"/>
    <mergeCell ref="H55:K55"/>
    <mergeCell ref="H56:K56"/>
    <mergeCell ref="H57:K57"/>
    <mergeCell ref="O79:Q79"/>
    <mergeCell ref="R79:X79"/>
    <mergeCell ref="O81:Q81"/>
    <mergeCell ref="R81:X81"/>
    <mergeCell ref="R77:X78"/>
    <mergeCell ref="O77:Q78"/>
    <mergeCell ref="H75:K75"/>
    <mergeCell ref="B191:B193"/>
    <mergeCell ref="H83:K83"/>
    <mergeCell ref="L83:N83"/>
    <mergeCell ref="H116:K116"/>
    <mergeCell ref="L116:N116"/>
    <mergeCell ref="H108:K108"/>
    <mergeCell ref="L108:N108"/>
    <mergeCell ref="B134:C134"/>
    <mergeCell ref="B135:C135"/>
    <mergeCell ref="D135:G135"/>
    <mergeCell ref="N138:X138"/>
    <mergeCell ref="O116:Q116"/>
    <mergeCell ref="R116:X116"/>
    <mergeCell ref="S136:X136"/>
    <mergeCell ref="O136:Q136"/>
    <mergeCell ref="K135:M135"/>
    <mergeCell ref="O112:Q112"/>
    <mergeCell ref="O137:X137"/>
    <mergeCell ref="H102:K102"/>
    <mergeCell ref="H104:K104"/>
    <mergeCell ref="T104:X104"/>
    <mergeCell ref="C126:X126"/>
    <mergeCell ref="R112:X112"/>
    <mergeCell ref="H113:K113"/>
    <mergeCell ref="AH63:AI63"/>
    <mergeCell ref="Q8:T8"/>
    <mergeCell ref="Q10:T10"/>
    <mergeCell ref="Q12:T12"/>
    <mergeCell ref="Q14:T14"/>
    <mergeCell ref="Q16:T16"/>
    <mergeCell ref="Q18:T18"/>
    <mergeCell ref="M49:P49"/>
    <mergeCell ref="M47:P47"/>
    <mergeCell ref="C43:X43"/>
    <mergeCell ref="H32:K32"/>
    <mergeCell ref="L32:N32"/>
    <mergeCell ref="O32:Q32"/>
    <mergeCell ref="R32:X32"/>
    <mergeCell ref="L54:N54"/>
    <mergeCell ref="L55:N55"/>
    <mergeCell ref="L56:N56"/>
    <mergeCell ref="C26:G27"/>
    <mergeCell ref="C28:G28"/>
    <mergeCell ref="H27:K27"/>
    <mergeCell ref="L27:N27"/>
    <mergeCell ref="K8:M8"/>
    <mergeCell ref="K10:M10"/>
    <mergeCell ref="K12:M12"/>
    <mergeCell ref="B1:X1"/>
    <mergeCell ref="T75:X75"/>
    <mergeCell ref="L57:N57"/>
    <mergeCell ref="O53:Q53"/>
    <mergeCell ref="O54:Q54"/>
    <mergeCell ref="O55:Q55"/>
    <mergeCell ref="O56:Q56"/>
    <mergeCell ref="O57:Q57"/>
    <mergeCell ref="R53:X53"/>
    <mergeCell ref="R54:X54"/>
    <mergeCell ref="R55:X55"/>
    <mergeCell ref="R56:X56"/>
    <mergeCell ref="R57:X57"/>
    <mergeCell ref="C68:X68"/>
    <mergeCell ref="H52:K52"/>
    <mergeCell ref="H51:N51"/>
    <mergeCell ref="H53:K53"/>
    <mergeCell ref="L53:N53"/>
    <mergeCell ref="H73:K73"/>
    <mergeCell ref="Q6:X6"/>
    <mergeCell ref="I6:O6"/>
    <mergeCell ref="K14:M14"/>
    <mergeCell ref="K16:M16"/>
    <mergeCell ref="K18:M18"/>
  </mergeCell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2D16D8CC-C459-4638-B939-67AAF9136E59}">
            <xm:f>Dados!$U$46&gt;12000</xm:f>
            <x14:dxf>
              <font>
                <color theme="0"/>
              </font>
            </x14:dxf>
          </x14:cfRule>
          <xm:sqref>B7:X42 B6 B99:X101 B73:B98 B127:X135 B102:B126 B137:X137 B136:S136 B44:X67 B43:C43 B69:X72 B68:C68 C74:X74 C73:S73 T75:X75 C75:K75 M75 C76:X101 C102:L103 T104:X104 N102:S102 N103:X103</xm:sqref>
        </x14:conditionalFormatting>
        <x14:conditionalFormatting xmlns:xm="http://schemas.microsoft.com/office/excel/2006/main">
          <x14:cfRule type="expression" priority="10" id="{1F0290A3-D1DD-40A8-8EC1-3660C0CFEDC6}">
            <xm:f>Dados!$U$46&gt;12000</xm:f>
            <x14:dxf>
              <font>
                <color theme="0"/>
              </font>
            </x14:dxf>
          </x14:cfRule>
          <xm:sqref>I6:X6</xm:sqref>
        </x14:conditionalFormatting>
        <x14:conditionalFormatting xmlns:xm="http://schemas.microsoft.com/office/excel/2006/main">
          <x14:cfRule type="expression" priority="9" id="{806083A6-933D-41C2-830E-97A1D02D8113}">
            <xm:f>Dados!$U$46&gt;12000</xm:f>
            <x14:dxf>
              <font>
                <color rgb="FFFF0000"/>
              </font>
            </x14:dxf>
          </x14:cfRule>
          <xm:sqref>C6:H6</xm:sqref>
        </x14:conditionalFormatting>
        <x14:conditionalFormatting xmlns:xm="http://schemas.microsoft.com/office/excel/2006/main">
          <x14:cfRule type="expression" priority="4" id="{6CA2A0C7-2D67-4AA7-81C8-5E97920E3EE5}">
            <xm:f>Dados!$R$157&lt;&gt;"Sumidouro"</xm:f>
            <x14:dxf>
              <font>
                <color theme="0"/>
              </font>
            </x14:dxf>
          </x14:cfRule>
          <xm:sqref>C86:X98</xm:sqref>
        </x14:conditionalFormatting>
        <x14:conditionalFormatting xmlns:xm="http://schemas.microsoft.com/office/excel/2006/main">
          <x14:cfRule type="expression" priority="3" id="{9F6829DD-B588-40EA-B5A1-B64120821165}">
            <xm:f>Dados!$R$157="Sumidouro"</xm:f>
            <x14:dxf>
              <font>
                <color theme="0"/>
              </font>
            </x14:dxf>
          </x14:cfRule>
          <xm:sqref>C118:X125 C126</xm:sqref>
        </x14:conditionalFormatting>
        <x14:conditionalFormatting xmlns:xm="http://schemas.microsoft.com/office/excel/2006/main">
          <x14:cfRule type="expression" priority="2" id="{515C688C-3562-4E15-BFD3-49971E20E379}">
            <xm:f>Dados!$U$46&gt;12000</xm:f>
            <x14:dxf>
              <font>
                <color theme="0"/>
              </font>
            </x14:dxf>
          </x14:cfRule>
          <xm:sqref>N75:S75 C105:X118 C104:L104 N104:S104</xm:sqref>
        </x14:conditionalFormatting>
        <x14:conditionalFormatting xmlns:xm="http://schemas.microsoft.com/office/excel/2006/main">
          <x14:cfRule type="expression" priority="1" id="{43B23408-337C-48AD-A03C-17CBD48E226D}">
            <xm:f>Dados!$U$46&gt;12000</xm:f>
            <x14:dxf>
              <font>
                <color theme="0"/>
              </font>
            </x14:dxf>
          </x14:cfRule>
          <xm:sqref>M102:M104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Relatório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Yoshiharu Nogata</dc:creator>
  <cp:lastModifiedBy>Luan Campero Souza Francisco</cp:lastModifiedBy>
  <cp:lastPrinted>2025-09-02T17:36:03Z</cp:lastPrinted>
  <dcterms:created xsi:type="dcterms:W3CDTF">2018-10-23T11:24:46Z</dcterms:created>
  <dcterms:modified xsi:type="dcterms:W3CDTF">2025-09-25T18:06:54Z</dcterms:modified>
</cp:coreProperties>
</file>